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69865DF9-7FEB-497F-80A0-CDDEC0A1FC5F}" xr6:coauthVersionLast="47" xr6:coauthVersionMax="47" xr10:uidLastSave="{00000000-0000-0000-0000-000000000000}"/>
  <bookViews>
    <workbookView xWindow="-108" yWindow="-108" windowWidth="23256" windowHeight="12456" firstSheet="4" activeTab="8" xr2:uid="{51DC5210-F224-41F5-A5E0-71F43E09E273}"/>
  </bookViews>
  <sheets>
    <sheet name="Feriados" sheetId="1" r:id="rId1"/>
    <sheet name="Resumo estatístico Futuro DI" sheetId="5" r:id="rId2"/>
    <sheet name="DI Futuro" sheetId="4" r:id="rId3"/>
    <sheet name="Histórico DI Futuro" sheetId="6" r:id="rId4"/>
    <sheet name="Projeção DI Futuro" sheetId="3" r:id="rId5"/>
    <sheet name="DI Futuro até o Vencimento" sheetId="7" r:id="rId6"/>
    <sheet name="Comprado X Vendido" sheetId="10" r:id="rId7"/>
    <sheet name="LTN x DI Fut" sheetId="8" r:id="rId8"/>
    <sheet name="LTN x DI Fut Até Venc" sheetId="11" r:id="rId9"/>
  </sheets>
  <externalReferences>
    <externalReference r:id="rId10"/>
  </externalReferences>
  <definedNames>
    <definedName name="_xlnm._FilterDatabase" localSheetId="7" hidden="1">'LTN x DI Fut'!$A$1:$R$65</definedName>
    <definedName name="_xlnm._FilterDatabase" localSheetId="8" hidden="1">'LTN x DI Fut Até Venc'!$A$1:$R$65</definedName>
    <definedName name="du">'[1]Modelagem Cubic Spline'!$D$5:$D$43</definedName>
    <definedName name="solver_eng" localSheetId="2" hidden="1">1</definedName>
    <definedName name="solver_neg" localSheetId="2" hidden="1">1</definedName>
    <definedName name="solver_num" localSheetId="2" hidden="1">0</definedName>
    <definedName name="solver_opt" localSheetId="2" hidden="1">'DI Futuro'!$M$12</definedName>
    <definedName name="solver_typ" localSheetId="2" hidden="1">1</definedName>
    <definedName name="solver_val" localSheetId="2" hidden="1">0</definedName>
    <definedName name="solver_ver" localSheetId="2" hidden="1">3</definedName>
    <definedName name="taxa">'[1]Modelagem Cubic Spline'!$C$5:$C$43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59" i="11" l="1"/>
  <c r="O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D254" i="11"/>
  <c r="K254" i="11" l="1"/>
  <c r="U254" i="11" l="1"/>
  <c r="N256" i="11"/>
  <c r="Y70" i="8"/>
  <c r="K256" i="11" l="1"/>
  <c r="D256" i="11" l="1"/>
  <c r="S73" i="11" l="1"/>
  <c r="S74" i="11"/>
  <c r="S75" i="11"/>
  <c r="S76" i="11"/>
  <c r="S77" i="11"/>
  <c r="S78" i="11"/>
  <c r="S79" i="11"/>
  <c r="S80" i="11"/>
  <c r="S81" i="11"/>
  <c r="S82" i="11"/>
  <c r="S83" i="11"/>
  <c r="S84" i="11"/>
  <c r="S85" i="11"/>
  <c r="S86" i="11"/>
  <c r="S87" i="11"/>
  <c r="S88" i="11"/>
  <c r="S89" i="11"/>
  <c r="S90" i="11"/>
  <c r="S91" i="11"/>
  <c r="S92" i="11"/>
  <c r="S93" i="11"/>
  <c r="S94" i="11"/>
  <c r="S95" i="11"/>
  <c r="S96" i="11"/>
  <c r="S97" i="11"/>
  <c r="S98" i="11"/>
  <c r="S99" i="11"/>
  <c r="S100" i="11"/>
  <c r="S101" i="11"/>
  <c r="S102" i="11"/>
  <c r="S103" i="11"/>
  <c r="S104" i="11"/>
  <c r="S105" i="11"/>
  <c r="S106" i="11"/>
  <c r="S107" i="11"/>
  <c r="S108" i="11"/>
  <c r="S109" i="11"/>
  <c r="S110" i="11"/>
  <c r="S111" i="11"/>
  <c r="S112" i="11"/>
  <c r="S113" i="11"/>
  <c r="S114" i="11"/>
  <c r="S115" i="11"/>
  <c r="S116" i="11"/>
  <c r="S117" i="11"/>
  <c r="S118" i="11"/>
  <c r="S119" i="11"/>
  <c r="S120" i="11"/>
  <c r="S121" i="11"/>
  <c r="S122" i="11"/>
  <c r="S123" i="11"/>
  <c r="S124" i="11"/>
  <c r="S125" i="11"/>
  <c r="S126" i="11"/>
  <c r="S127" i="11"/>
  <c r="S128" i="11"/>
  <c r="S129" i="11"/>
  <c r="S130" i="11"/>
  <c r="S131" i="11"/>
  <c r="S132" i="11"/>
  <c r="S133" i="11"/>
  <c r="S134" i="11"/>
  <c r="S135" i="11"/>
  <c r="S136" i="11"/>
  <c r="S137" i="11"/>
  <c r="S138" i="11"/>
  <c r="S139" i="11"/>
  <c r="S140" i="11"/>
  <c r="S141" i="11"/>
  <c r="S142" i="11"/>
  <c r="S143" i="11"/>
  <c r="S144" i="11"/>
  <c r="S145" i="11"/>
  <c r="S146" i="11"/>
  <c r="S147" i="11"/>
  <c r="S148" i="11"/>
  <c r="S149" i="11"/>
  <c r="S150" i="11"/>
  <c r="S151" i="11"/>
  <c r="S152" i="11"/>
  <c r="S153" i="11"/>
  <c r="S154" i="11"/>
  <c r="S155" i="11"/>
  <c r="S156" i="11"/>
  <c r="S157" i="11"/>
  <c r="S158" i="11"/>
  <c r="S159" i="11"/>
  <c r="S160" i="11"/>
  <c r="S161" i="11"/>
  <c r="S162" i="11"/>
  <c r="S163" i="11"/>
  <c r="S164" i="11"/>
  <c r="S165" i="11"/>
  <c r="S166" i="11"/>
  <c r="S167" i="11"/>
  <c r="S168" i="11"/>
  <c r="S169" i="11"/>
  <c r="S170" i="11"/>
  <c r="S171" i="11"/>
  <c r="S172" i="11"/>
  <c r="S173" i="11"/>
  <c r="S174" i="11"/>
  <c r="S175" i="11"/>
  <c r="S176" i="11"/>
  <c r="S177" i="11"/>
  <c r="S178" i="11"/>
  <c r="S179" i="11"/>
  <c r="S180" i="11"/>
  <c r="S181" i="11"/>
  <c r="S182" i="11"/>
  <c r="S183" i="11"/>
  <c r="S184" i="11"/>
  <c r="S185" i="11"/>
  <c r="S186" i="11"/>
  <c r="S187" i="11"/>
  <c r="S188" i="11"/>
  <c r="S189" i="11"/>
  <c r="S190" i="11"/>
  <c r="S191" i="11"/>
  <c r="S192" i="11"/>
  <c r="S193" i="11"/>
  <c r="S194" i="11"/>
  <c r="S195" i="11"/>
  <c r="S196" i="11"/>
  <c r="S197" i="11"/>
  <c r="S198" i="11"/>
  <c r="S199" i="11"/>
  <c r="S200" i="11"/>
  <c r="S201" i="11"/>
  <c r="S202" i="11"/>
  <c r="S203" i="11"/>
  <c r="S204" i="11"/>
  <c r="S205" i="11"/>
  <c r="S206" i="11"/>
  <c r="S207" i="11"/>
  <c r="S208" i="11"/>
  <c r="S209" i="11"/>
  <c r="S210" i="11"/>
  <c r="S211" i="11"/>
  <c r="S212" i="11"/>
  <c r="S213" i="11"/>
  <c r="S214" i="11"/>
  <c r="S215" i="11"/>
  <c r="S216" i="11"/>
  <c r="S217" i="11"/>
  <c r="S218" i="11"/>
  <c r="S219" i="11"/>
  <c r="S220" i="11"/>
  <c r="S221" i="11"/>
  <c r="S222" i="11"/>
  <c r="S223" i="11"/>
  <c r="S224" i="11"/>
  <c r="S225" i="11"/>
  <c r="S226" i="11"/>
  <c r="S227" i="11"/>
  <c r="S228" i="11"/>
  <c r="S229" i="11"/>
  <c r="S230" i="11"/>
  <c r="S231" i="11"/>
  <c r="S232" i="11"/>
  <c r="S233" i="11"/>
  <c r="S234" i="11"/>
  <c r="S235" i="11"/>
  <c r="S236" i="11"/>
  <c r="S237" i="11"/>
  <c r="S238" i="11"/>
  <c r="S239" i="11"/>
  <c r="S240" i="11"/>
  <c r="S241" i="11"/>
  <c r="S242" i="11"/>
  <c r="S243" i="11"/>
  <c r="S244" i="11"/>
  <c r="S245" i="11"/>
  <c r="S246" i="11"/>
  <c r="S247" i="11"/>
  <c r="S248" i="11"/>
  <c r="S249" i="11"/>
  <c r="S250" i="11"/>
  <c r="S251" i="11"/>
  <c r="S252" i="11"/>
  <c r="S253" i="11"/>
  <c r="S254" i="11"/>
  <c r="S67" i="11"/>
  <c r="S68" i="11"/>
  <c r="S69" i="11"/>
  <c r="S70" i="11"/>
  <c r="S71" i="11"/>
  <c r="S72" i="11"/>
  <c r="S66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19" i="11"/>
  <c r="L120" i="11"/>
  <c r="L121" i="11"/>
  <c r="L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5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68" i="11"/>
  <c r="L169" i="11"/>
  <c r="L170" i="11"/>
  <c r="L171" i="11"/>
  <c r="L172" i="11"/>
  <c r="L173" i="11"/>
  <c r="L174" i="11"/>
  <c r="L175" i="11"/>
  <c r="L176" i="11"/>
  <c r="L177" i="11"/>
  <c r="L178" i="11"/>
  <c r="L179" i="11"/>
  <c r="L180" i="11"/>
  <c r="L181" i="11"/>
  <c r="L182" i="11"/>
  <c r="L183" i="11"/>
  <c r="L184" i="11"/>
  <c r="L185" i="11"/>
  <c r="L186" i="11"/>
  <c r="L187" i="11"/>
  <c r="L188" i="11"/>
  <c r="L189" i="11"/>
  <c r="L190" i="11"/>
  <c r="L191" i="11"/>
  <c r="L192" i="11"/>
  <c r="L193" i="11"/>
  <c r="L194" i="11"/>
  <c r="L195" i="11"/>
  <c r="L196" i="11"/>
  <c r="L197" i="11"/>
  <c r="L198" i="11"/>
  <c r="L199" i="11"/>
  <c r="L200" i="11"/>
  <c r="L201" i="11"/>
  <c r="L202" i="11"/>
  <c r="L203" i="11"/>
  <c r="L204" i="11"/>
  <c r="L205" i="11"/>
  <c r="L206" i="11"/>
  <c r="L207" i="11"/>
  <c r="L208" i="11"/>
  <c r="L209" i="11"/>
  <c r="L210" i="11"/>
  <c r="L211" i="11"/>
  <c r="L212" i="11"/>
  <c r="L213" i="11"/>
  <c r="L214" i="11"/>
  <c r="L215" i="11"/>
  <c r="L216" i="11"/>
  <c r="L217" i="11"/>
  <c r="L218" i="11"/>
  <c r="L219" i="11"/>
  <c r="L220" i="11"/>
  <c r="L221" i="11"/>
  <c r="L222" i="11"/>
  <c r="L223" i="11"/>
  <c r="L224" i="11"/>
  <c r="L225" i="11"/>
  <c r="L226" i="11"/>
  <c r="L227" i="11"/>
  <c r="L228" i="11"/>
  <c r="L229" i="11"/>
  <c r="L230" i="11"/>
  <c r="L231" i="11"/>
  <c r="L232" i="11"/>
  <c r="L233" i="11"/>
  <c r="L234" i="11"/>
  <c r="L235" i="11"/>
  <c r="L236" i="11"/>
  <c r="L237" i="11"/>
  <c r="L238" i="11"/>
  <c r="L239" i="11"/>
  <c r="L240" i="11"/>
  <c r="L241" i="11"/>
  <c r="L242" i="11"/>
  <c r="L243" i="11"/>
  <c r="L244" i="11"/>
  <c r="L245" i="11"/>
  <c r="L246" i="11"/>
  <c r="L247" i="11"/>
  <c r="L248" i="11"/>
  <c r="L249" i="11"/>
  <c r="L250" i="11"/>
  <c r="L251" i="11"/>
  <c r="L252" i="11"/>
  <c r="L253" i="11"/>
  <c r="L254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66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C66" i="11"/>
  <c r="M66" i="11" s="1"/>
  <c r="C67" i="11"/>
  <c r="M67" i="11" s="1"/>
  <c r="C68" i="11"/>
  <c r="C69" i="11"/>
  <c r="F69" i="11" s="1"/>
  <c r="G69" i="11" s="1"/>
  <c r="U69" i="11" s="1"/>
  <c r="C70" i="11"/>
  <c r="M70" i="11" s="1"/>
  <c r="C71" i="11"/>
  <c r="M71" i="11" s="1"/>
  <c r="C72" i="11"/>
  <c r="C73" i="11"/>
  <c r="F73" i="11" s="1"/>
  <c r="G73" i="11" s="1"/>
  <c r="U73" i="11" s="1"/>
  <c r="C74" i="11"/>
  <c r="M74" i="11" s="1"/>
  <c r="C75" i="11"/>
  <c r="M75" i="11" s="1"/>
  <c r="C76" i="11"/>
  <c r="C77" i="11"/>
  <c r="F77" i="11" s="1"/>
  <c r="G77" i="11" s="1"/>
  <c r="U77" i="11" s="1"/>
  <c r="C78" i="11"/>
  <c r="M78" i="11" s="1"/>
  <c r="C79" i="11"/>
  <c r="M79" i="11" s="1"/>
  <c r="C80" i="11"/>
  <c r="C81" i="11"/>
  <c r="F81" i="11" s="1"/>
  <c r="G81" i="11" s="1"/>
  <c r="U81" i="11" s="1"/>
  <c r="C82" i="11"/>
  <c r="M82" i="11" s="1"/>
  <c r="C83" i="11"/>
  <c r="M83" i="11" s="1"/>
  <c r="C84" i="11"/>
  <c r="C85" i="11"/>
  <c r="F85" i="11" s="1"/>
  <c r="G85" i="11" s="1"/>
  <c r="U85" i="11" s="1"/>
  <c r="C86" i="11"/>
  <c r="M86" i="11" s="1"/>
  <c r="C87" i="11"/>
  <c r="M87" i="11" s="1"/>
  <c r="C88" i="11"/>
  <c r="C89" i="11"/>
  <c r="F89" i="11" s="1"/>
  <c r="G89" i="11" s="1"/>
  <c r="U89" i="11" s="1"/>
  <c r="C90" i="11"/>
  <c r="M90" i="11" s="1"/>
  <c r="C91" i="11"/>
  <c r="M91" i="11" s="1"/>
  <c r="C92" i="11"/>
  <c r="C93" i="11"/>
  <c r="F93" i="11" s="1"/>
  <c r="G93" i="11" s="1"/>
  <c r="U93" i="11" s="1"/>
  <c r="C94" i="11"/>
  <c r="C95" i="11"/>
  <c r="C96" i="11"/>
  <c r="M96" i="11" s="1"/>
  <c r="C97" i="11"/>
  <c r="F97" i="11" s="1"/>
  <c r="G97" i="11" s="1"/>
  <c r="U97" i="11" s="1"/>
  <c r="C98" i="11"/>
  <c r="C99" i="11"/>
  <c r="C100" i="11"/>
  <c r="M100" i="11" s="1"/>
  <c r="C101" i="11"/>
  <c r="M101" i="11" s="1"/>
  <c r="C102" i="11"/>
  <c r="M102" i="11" s="1"/>
  <c r="C103" i="11"/>
  <c r="M103" i="11" s="1"/>
  <c r="C104" i="11"/>
  <c r="C105" i="11"/>
  <c r="F105" i="11" s="1"/>
  <c r="G105" i="11" s="1"/>
  <c r="U105" i="11" s="1"/>
  <c r="C106" i="11"/>
  <c r="M106" i="11" s="1"/>
  <c r="C107" i="11"/>
  <c r="M107" i="11" s="1"/>
  <c r="C108" i="11"/>
  <c r="C109" i="11"/>
  <c r="F109" i="11" s="1"/>
  <c r="G109" i="11" s="1"/>
  <c r="U109" i="11" s="1"/>
  <c r="C110" i="11"/>
  <c r="C111" i="11"/>
  <c r="C112" i="11"/>
  <c r="M112" i="11" s="1"/>
  <c r="C113" i="11"/>
  <c r="F113" i="11" s="1"/>
  <c r="G113" i="11" s="1"/>
  <c r="U113" i="11" s="1"/>
  <c r="C114" i="11"/>
  <c r="C115" i="11"/>
  <c r="C116" i="11"/>
  <c r="M116" i="11" s="1"/>
  <c r="C117" i="11"/>
  <c r="M117" i="11" s="1"/>
  <c r="C118" i="11"/>
  <c r="M118" i="11" s="1"/>
  <c r="C119" i="11"/>
  <c r="M119" i="11" s="1"/>
  <c r="C120" i="11"/>
  <c r="C121" i="11"/>
  <c r="F121" i="11" s="1"/>
  <c r="G121" i="11" s="1"/>
  <c r="U121" i="11" s="1"/>
  <c r="C122" i="11"/>
  <c r="M122" i="11" s="1"/>
  <c r="C123" i="11"/>
  <c r="M123" i="11" s="1"/>
  <c r="C124" i="11"/>
  <c r="C125" i="11"/>
  <c r="F125" i="11" s="1"/>
  <c r="G125" i="11" s="1"/>
  <c r="U125" i="11" s="1"/>
  <c r="C126" i="11"/>
  <c r="C127" i="11"/>
  <c r="C128" i="11"/>
  <c r="M128" i="11" s="1"/>
  <c r="C129" i="11"/>
  <c r="F129" i="11" s="1"/>
  <c r="G129" i="11" s="1"/>
  <c r="U129" i="11" s="1"/>
  <c r="C130" i="11"/>
  <c r="C131" i="11"/>
  <c r="C132" i="11"/>
  <c r="M132" i="11" s="1"/>
  <c r="C133" i="11"/>
  <c r="F133" i="11" s="1"/>
  <c r="G133" i="11" s="1"/>
  <c r="U133" i="11" s="1"/>
  <c r="C134" i="11"/>
  <c r="M134" i="11" s="1"/>
  <c r="C135" i="11"/>
  <c r="M135" i="11" s="1"/>
  <c r="C136" i="11"/>
  <c r="C137" i="11"/>
  <c r="F137" i="11" s="1"/>
  <c r="G137" i="11" s="1"/>
  <c r="U137" i="11" s="1"/>
  <c r="C138" i="11"/>
  <c r="M138" i="11" s="1"/>
  <c r="C139" i="11"/>
  <c r="M139" i="11" s="1"/>
  <c r="C140" i="11"/>
  <c r="C141" i="11"/>
  <c r="F141" i="11" s="1"/>
  <c r="G141" i="11" s="1"/>
  <c r="U141" i="11" s="1"/>
  <c r="C142" i="11"/>
  <c r="C143" i="11"/>
  <c r="C144" i="11"/>
  <c r="M144" i="11" s="1"/>
  <c r="C145" i="11"/>
  <c r="M145" i="11" s="1"/>
  <c r="C146" i="11"/>
  <c r="C147" i="11"/>
  <c r="C148" i="11"/>
  <c r="M148" i="11" s="1"/>
  <c r="C149" i="11"/>
  <c r="M149" i="11" s="1"/>
  <c r="C150" i="11"/>
  <c r="M150" i="11" s="1"/>
  <c r="C151" i="11"/>
  <c r="M151" i="11" s="1"/>
  <c r="C152" i="11"/>
  <c r="C153" i="11"/>
  <c r="F153" i="11" s="1"/>
  <c r="G153" i="11" s="1"/>
  <c r="U153" i="11" s="1"/>
  <c r="C154" i="11"/>
  <c r="M154" i="11" s="1"/>
  <c r="C155" i="11"/>
  <c r="M155" i="11" s="1"/>
  <c r="C156" i="11"/>
  <c r="C157" i="11"/>
  <c r="F157" i="11" s="1"/>
  <c r="G157" i="11" s="1"/>
  <c r="U157" i="11" s="1"/>
  <c r="C158" i="11"/>
  <c r="C159" i="11"/>
  <c r="C160" i="11"/>
  <c r="M160" i="11" s="1"/>
  <c r="C161" i="11"/>
  <c r="F161" i="11" s="1"/>
  <c r="G161" i="11" s="1"/>
  <c r="U161" i="11" s="1"/>
  <c r="C162" i="11"/>
  <c r="C163" i="11"/>
  <c r="C164" i="11"/>
  <c r="M164" i="11" s="1"/>
  <c r="C165" i="11"/>
  <c r="F165" i="11" s="1"/>
  <c r="G165" i="11" s="1"/>
  <c r="U165" i="11" s="1"/>
  <c r="C166" i="11"/>
  <c r="M166" i="11" s="1"/>
  <c r="C167" i="11"/>
  <c r="M167" i="11" s="1"/>
  <c r="C168" i="11"/>
  <c r="C169" i="11"/>
  <c r="F169" i="11" s="1"/>
  <c r="G169" i="11" s="1"/>
  <c r="U169" i="11" s="1"/>
  <c r="C170" i="11"/>
  <c r="M170" i="11" s="1"/>
  <c r="C171" i="11"/>
  <c r="M171" i="11" s="1"/>
  <c r="C172" i="11"/>
  <c r="C173" i="11"/>
  <c r="F173" i="11" s="1"/>
  <c r="G173" i="11" s="1"/>
  <c r="U173" i="11" s="1"/>
  <c r="C174" i="11"/>
  <c r="C175" i="11"/>
  <c r="C176" i="11"/>
  <c r="M176" i="11" s="1"/>
  <c r="C177" i="11"/>
  <c r="M177" i="11" s="1"/>
  <c r="C178" i="11"/>
  <c r="C179" i="11"/>
  <c r="C180" i="11"/>
  <c r="M180" i="11" s="1"/>
  <c r="C181" i="11"/>
  <c r="M181" i="11" s="1"/>
  <c r="C182" i="11"/>
  <c r="M182" i="11" s="1"/>
  <c r="C183" i="11"/>
  <c r="M183" i="11" s="1"/>
  <c r="C184" i="11"/>
  <c r="C185" i="11"/>
  <c r="F185" i="11" s="1"/>
  <c r="G185" i="11" s="1"/>
  <c r="U185" i="11" s="1"/>
  <c r="C186" i="11"/>
  <c r="M186" i="11" s="1"/>
  <c r="C187" i="11"/>
  <c r="M187" i="11" s="1"/>
  <c r="C188" i="11"/>
  <c r="C189" i="11"/>
  <c r="F189" i="11" s="1"/>
  <c r="G189" i="11" s="1"/>
  <c r="U189" i="11" s="1"/>
  <c r="C190" i="11"/>
  <c r="C191" i="11"/>
  <c r="C192" i="11"/>
  <c r="M192" i="11" s="1"/>
  <c r="C193" i="11"/>
  <c r="F193" i="11" s="1"/>
  <c r="G193" i="11" s="1"/>
  <c r="U193" i="11" s="1"/>
  <c r="C194" i="11"/>
  <c r="C195" i="11"/>
  <c r="C196" i="11"/>
  <c r="M196" i="11" s="1"/>
  <c r="C197" i="11"/>
  <c r="M197" i="11" s="1"/>
  <c r="C198" i="11"/>
  <c r="F198" i="11" s="1"/>
  <c r="G198" i="11" s="1"/>
  <c r="U198" i="11" s="1"/>
  <c r="C199" i="11"/>
  <c r="M199" i="11" s="1"/>
  <c r="C200" i="11"/>
  <c r="C201" i="11"/>
  <c r="F201" i="11" s="1"/>
  <c r="G201" i="11" s="1"/>
  <c r="U201" i="11" s="1"/>
  <c r="C202" i="11"/>
  <c r="F202" i="11" s="1"/>
  <c r="G202" i="11" s="1"/>
  <c r="U202" i="11" s="1"/>
  <c r="C203" i="11"/>
  <c r="M203" i="11" s="1"/>
  <c r="C204" i="11"/>
  <c r="C205" i="11"/>
  <c r="F205" i="11" s="1"/>
  <c r="G205" i="11" s="1"/>
  <c r="U205" i="11" s="1"/>
  <c r="C206" i="11"/>
  <c r="F206" i="11" s="1"/>
  <c r="G206" i="11" s="1"/>
  <c r="U206" i="11" s="1"/>
  <c r="C207" i="11"/>
  <c r="C208" i="11"/>
  <c r="M208" i="11" s="1"/>
  <c r="C209" i="11"/>
  <c r="F209" i="11" s="1"/>
  <c r="G209" i="11" s="1"/>
  <c r="U209" i="11" s="1"/>
  <c r="C210" i="11"/>
  <c r="F210" i="11" s="1"/>
  <c r="G210" i="11" s="1"/>
  <c r="U210" i="11" s="1"/>
  <c r="C211" i="11"/>
  <c r="C212" i="11"/>
  <c r="M212" i="11" s="1"/>
  <c r="C213" i="11"/>
  <c r="F213" i="11" s="1"/>
  <c r="G213" i="11" s="1"/>
  <c r="U213" i="11" s="1"/>
  <c r="C214" i="11"/>
  <c r="F214" i="11" s="1"/>
  <c r="G214" i="11" s="1"/>
  <c r="U214" i="11" s="1"/>
  <c r="C215" i="11"/>
  <c r="M215" i="11" s="1"/>
  <c r="C216" i="11"/>
  <c r="C217" i="11"/>
  <c r="F217" i="11" s="1"/>
  <c r="G217" i="11" s="1"/>
  <c r="U217" i="11" s="1"/>
  <c r="C218" i="11"/>
  <c r="F218" i="11" s="1"/>
  <c r="G218" i="11" s="1"/>
  <c r="U218" i="11" s="1"/>
  <c r="C219" i="11"/>
  <c r="M219" i="11" s="1"/>
  <c r="C220" i="11"/>
  <c r="C221" i="11"/>
  <c r="F221" i="11" s="1"/>
  <c r="G221" i="11" s="1"/>
  <c r="U221" i="11" s="1"/>
  <c r="C222" i="11"/>
  <c r="F222" i="11" s="1"/>
  <c r="G222" i="11" s="1"/>
  <c r="U222" i="11" s="1"/>
  <c r="C223" i="11"/>
  <c r="M223" i="11" s="1"/>
  <c r="C224" i="11"/>
  <c r="M224" i="11" s="1"/>
  <c r="C225" i="11"/>
  <c r="F225" i="11" s="1"/>
  <c r="G225" i="11" s="1"/>
  <c r="U225" i="11" s="1"/>
  <c r="C226" i="11"/>
  <c r="M226" i="11" s="1"/>
  <c r="C227" i="11"/>
  <c r="C228" i="11"/>
  <c r="M228" i="11" s="1"/>
  <c r="C229" i="11"/>
  <c r="F229" i="11" s="1"/>
  <c r="G229" i="11" s="1"/>
  <c r="U229" i="11" s="1"/>
  <c r="C230" i="11"/>
  <c r="F230" i="11" s="1"/>
  <c r="G230" i="11" s="1"/>
  <c r="U230" i="11" s="1"/>
  <c r="C231" i="11"/>
  <c r="M231" i="11" s="1"/>
  <c r="C232" i="11"/>
  <c r="F232" i="11" s="1"/>
  <c r="G232" i="11" s="1"/>
  <c r="U232" i="11" s="1"/>
  <c r="C233" i="11"/>
  <c r="M233" i="11" s="1"/>
  <c r="C234" i="11"/>
  <c r="F234" i="11" s="1"/>
  <c r="G234" i="11" s="1"/>
  <c r="U234" i="11" s="1"/>
  <c r="C235" i="11"/>
  <c r="M235" i="11" s="1"/>
  <c r="C236" i="11"/>
  <c r="M236" i="11" s="1"/>
  <c r="C237" i="11"/>
  <c r="F237" i="11" s="1"/>
  <c r="G237" i="11" s="1"/>
  <c r="U237" i="11" s="1"/>
  <c r="C238" i="11"/>
  <c r="F238" i="11" s="1"/>
  <c r="G238" i="11" s="1"/>
  <c r="U238" i="11" s="1"/>
  <c r="C239" i="11"/>
  <c r="M239" i="11" s="1"/>
  <c r="C240" i="11"/>
  <c r="M240" i="11" s="1"/>
  <c r="C241" i="11"/>
  <c r="F241" i="11" s="1"/>
  <c r="G241" i="11" s="1"/>
  <c r="U241" i="11" s="1"/>
  <c r="C242" i="11"/>
  <c r="F242" i="11" s="1"/>
  <c r="G242" i="11" s="1"/>
  <c r="U242" i="11" s="1"/>
  <c r="C243" i="11"/>
  <c r="M243" i="11" s="1"/>
  <c r="C244" i="11"/>
  <c r="M244" i="11" s="1"/>
  <c r="C245" i="11"/>
  <c r="F245" i="11" s="1"/>
  <c r="G245" i="11" s="1"/>
  <c r="U245" i="11" s="1"/>
  <c r="C246" i="11"/>
  <c r="F246" i="11" s="1"/>
  <c r="G246" i="11" s="1"/>
  <c r="U246" i="11" s="1"/>
  <c r="C247" i="11"/>
  <c r="M247" i="11" s="1"/>
  <c r="C248" i="11"/>
  <c r="M248" i="11" s="1"/>
  <c r="C249" i="11"/>
  <c r="M249" i="11" s="1"/>
  <c r="C250" i="11"/>
  <c r="F250" i="11" s="1"/>
  <c r="G250" i="11" s="1"/>
  <c r="U250" i="11" s="1"/>
  <c r="C251" i="11"/>
  <c r="M251" i="11" s="1"/>
  <c r="C252" i="11"/>
  <c r="M252" i="11" s="1"/>
  <c r="C253" i="11"/>
  <c r="F253" i="11" s="1"/>
  <c r="G253" i="11" s="1"/>
  <c r="U253" i="11" s="1"/>
  <c r="C254" i="11"/>
  <c r="G254" i="11" s="1"/>
  <c r="S65" i="11"/>
  <c r="L65" i="11"/>
  <c r="C65" i="11"/>
  <c r="F65" i="11" s="1"/>
  <c r="G65" i="11" s="1"/>
  <c r="U65" i="11" s="1"/>
  <c r="S64" i="11"/>
  <c r="L64" i="11"/>
  <c r="C64" i="11"/>
  <c r="M64" i="11" s="1"/>
  <c r="S63" i="11"/>
  <c r="L63" i="11"/>
  <c r="C63" i="11"/>
  <c r="M63" i="11" s="1"/>
  <c r="S62" i="11"/>
  <c r="L62" i="11"/>
  <c r="C62" i="11"/>
  <c r="F62" i="11" s="1"/>
  <c r="G62" i="11" s="1"/>
  <c r="U62" i="11" s="1"/>
  <c r="S61" i="11"/>
  <c r="L61" i="11"/>
  <c r="C61" i="11"/>
  <c r="M61" i="11" s="1"/>
  <c r="S60" i="11"/>
  <c r="L60" i="11"/>
  <c r="C60" i="11"/>
  <c r="M60" i="11" s="1"/>
  <c r="S59" i="11"/>
  <c r="L59" i="11"/>
  <c r="C59" i="11"/>
  <c r="S58" i="11"/>
  <c r="L58" i="11"/>
  <c r="C58" i="11"/>
  <c r="M58" i="11" s="1"/>
  <c r="S57" i="11"/>
  <c r="L57" i="11"/>
  <c r="C57" i="11"/>
  <c r="F57" i="11" s="1"/>
  <c r="G57" i="11" s="1"/>
  <c r="U57" i="11" s="1"/>
  <c r="S56" i="11"/>
  <c r="L56" i="11"/>
  <c r="C56" i="11"/>
  <c r="M56" i="11" s="1"/>
  <c r="S55" i="11"/>
  <c r="L55" i="11"/>
  <c r="C55" i="11"/>
  <c r="F55" i="11" s="1"/>
  <c r="G55" i="11" s="1"/>
  <c r="U55" i="11" s="1"/>
  <c r="S54" i="11"/>
  <c r="L54" i="11"/>
  <c r="C54" i="11"/>
  <c r="F54" i="11" s="1"/>
  <c r="G54" i="11" s="1"/>
  <c r="U54" i="11" s="1"/>
  <c r="S53" i="11"/>
  <c r="L53" i="11"/>
  <c r="C53" i="11"/>
  <c r="M53" i="11" s="1"/>
  <c r="S52" i="11"/>
  <c r="L52" i="11"/>
  <c r="C52" i="11"/>
  <c r="M52" i="11" s="1"/>
  <c r="S51" i="11"/>
  <c r="L51" i="11"/>
  <c r="C51" i="11"/>
  <c r="S50" i="11"/>
  <c r="L50" i="11"/>
  <c r="C50" i="11"/>
  <c r="M50" i="11" s="1"/>
  <c r="S49" i="11"/>
  <c r="L49" i="11"/>
  <c r="C49" i="11"/>
  <c r="F49" i="11" s="1"/>
  <c r="G49" i="11" s="1"/>
  <c r="U49" i="11" s="1"/>
  <c r="S48" i="11"/>
  <c r="L48" i="11"/>
  <c r="C48" i="11"/>
  <c r="M48" i="11" s="1"/>
  <c r="S47" i="11"/>
  <c r="L47" i="11"/>
  <c r="C47" i="11"/>
  <c r="F47" i="11" s="1"/>
  <c r="G47" i="11" s="1"/>
  <c r="U47" i="11" s="1"/>
  <c r="S46" i="11"/>
  <c r="L46" i="11"/>
  <c r="C46" i="11"/>
  <c r="F46" i="11" s="1"/>
  <c r="G46" i="11" s="1"/>
  <c r="U46" i="11" s="1"/>
  <c r="S45" i="11"/>
  <c r="L45" i="11"/>
  <c r="C45" i="11"/>
  <c r="M45" i="11" s="1"/>
  <c r="S44" i="11"/>
  <c r="L44" i="11"/>
  <c r="C44" i="11"/>
  <c r="M44" i="11" s="1"/>
  <c r="S43" i="11"/>
  <c r="L43" i="11"/>
  <c r="C43" i="11"/>
  <c r="F43" i="11" s="1"/>
  <c r="G43" i="11" s="1"/>
  <c r="U43" i="11" s="1"/>
  <c r="S42" i="11"/>
  <c r="L42" i="11"/>
  <c r="C42" i="11"/>
  <c r="M42" i="11" s="1"/>
  <c r="S41" i="11"/>
  <c r="L41" i="11"/>
  <c r="C41" i="11"/>
  <c r="F41" i="11" s="1"/>
  <c r="G41" i="11" s="1"/>
  <c r="U41" i="11" s="1"/>
  <c r="S40" i="11"/>
  <c r="L40" i="11"/>
  <c r="C40" i="11"/>
  <c r="M40" i="11" s="1"/>
  <c r="S39" i="11"/>
  <c r="L39" i="11"/>
  <c r="C39" i="11"/>
  <c r="F39" i="11" s="1"/>
  <c r="G39" i="11" s="1"/>
  <c r="U39" i="11" s="1"/>
  <c r="S38" i="11"/>
  <c r="L38" i="11"/>
  <c r="C38" i="11"/>
  <c r="F38" i="11" s="1"/>
  <c r="G38" i="11" s="1"/>
  <c r="U38" i="11" s="1"/>
  <c r="S37" i="11"/>
  <c r="L37" i="11"/>
  <c r="C37" i="11"/>
  <c r="M37" i="11" s="1"/>
  <c r="S36" i="11"/>
  <c r="L36" i="11"/>
  <c r="C36" i="11"/>
  <c r="M36" i="11" s="1"/>
  <c r="S35" i="11"/>
  <c r="L35" i="11"/>
  <c r="C35" i="11"/>
  <c r="F35" i="11" s="1"/>
  <c r="G35" i="11" s="1"/>
  <c r="U35" i="11" s="1"/>
  <c r="S34" i="11"/>
  <c r="L34" i="11"/>
  <c r="C34" i="11"/>
  <c r="M34" i="11" s="1"/>
  <c r="S33" i="11"/>
  <c r="L33" i="11"/>
  <c r="C33" i="11"/>
  <c r="F33" i="11" s="1"/>
  <c r="G33" i="11" s="1"/>
  <c r="U33" i="11" s="1"/>
  <c r="S32" i="11"/>
  <c r="L32" i="11"/>
  <c r="C32" i="11"/>
  <c r="M32" i="11" s="1"/>
  <c r="S31" i="11"/>
  <c r="L31" i="11"/>
  <c r="C31" i="11"/>
  <c r="F31" i="11" s="1"/>
  <c r="G31" i="11" s="1"/>
  <c r="U31" i="11" s="1"/>
  <c r="S30" i="11"/>
  <c r="L30" i="11"/>
  <c r="C30" i="11"/>
  <c r="F30" i="11" s="1"/>
  <c r="G30" i="11" s="1"/>
  <c r="U30" i="11" s="1"/>
  <c r="S29" i="11"/>
  <c r="L29" i="11"/>
  <c r="C29" i="11"/>
  <c r="M29" i="11" s="1"/>
  <c r="S28" i="11"/>
  <c r="L28" i="11"/>
  <c r="C28" i="11"/>
  <c r="M28" i="11" s="1"/>
  <c r="S27" i="11"/>
  <c r="L27" i="11"/>
  <c r="C27" i="11"/>
  <c r="F27" i="11" s="1"/>
  <c r="G27" i="11" s="1"/>
  <c r="U27" i="11" s="1"/>
  <c r="S26" i="11"/>
  <c r="L26" i="11"/>
  <c r="C26" i="11"/>
  <c r="M26" i="11" s="1"/>
  <c r="S25" i="11"/>
  <c r="L25" i="11"/>
  <c r="C25" i="11"/>
  <c r="M25" i="11" s="1"/>
  <c r="S24" i="11"/>
  <c r="L24" i="11"/>
  <c r="C24" i="11"/>
  <c r="M24" i="11" s="1"/>
  <c r="S23" i="11"/>
  <c r="L23" i="11"/>
  <c r="C23" i="11"/>
  <c r="M23" i="11" s="1"/>
  <c r="S22" i="11"/>
  <c r="L22" i="11"/>
  <c r="C22" i="11"/>
  <c r="F22" i="11" s="1"/>
  <c r="G22" i="11" s="1"/>
  <c r="U22" i="11" s="1"/>
  <c r="S21" i="11"/>
  <c r="L21" i="11"/>
  <c r="C21" i="11"/>
  <c r="M21" i="11" s="1"/>
  <c r="S20" i="11"/>
  <c r="L20" i="11"/>
  <c r="C20" i="11"/>
  <c r="M20" i="11" s="1"/>
  <c r="S19" i="11"/>
  <c r="L19" i="11"/>
  <c r="C19" i="11"/>
  <c r="F19" i="11" s="1"/>
  <c r="G19" i="11" s="1"/>
  <c r="U19" i="11" s="1"/>
  <c r="S18" i="11"/>
  <c r="L18" i="11"/>
  <c r="C18" i="11"/>
  <c r="M18" i="11" s="1"/>
  <c r="S17" i="11"/>
  <c r="L17" i="11"/>
  <c r="C17" i="11"/>
  <c r="M17" i="11" s="1"/>
  <c r="S16" i="11"/>
  <c r="L16" i="11"/>
  <c r="C16" i="11"/>
  <c r="F16" i="11" s="1"/>
  <c r="G16" i="11" s="1"/>
  <c r="U16" i="11" s="1"/>
  <c r="S15" i="11"/>
  <c r="L15" i="11"/>
  <c r="C15" i="11"/>
  <c r="F15" i="11" s="1"/>
  <c r="G15" i="11" s="1"/>
  <c r="U15" i="11" s="1"/>
  <c r="S14" i="11"/>
  <c r="L14" i="11"/>
  <c r="C14" i="11"/>
  <c r="F14" i="11" s="1"/>
  <c r="G14" i="11" s="1"/>
  <c r="U14" i="11" s="1"/>
  <c r="S13" i="11"/>
  <c r="L13" i="11"/>
  <c r="C13" i="11"/>
  <c r="F13" i="11" s="1"/>
  <c r="G13" i="11" s="1"/>
  <c r="U13" i="11" s="1"/>
  <c r="S12" i="11"/>
  <c r="L12" i="11"/>
  <c r="C12" i="11"/>
  <c r="M12" i="11" s="1"/>
  <c r="S11" i="11"/>
  <c r="L11" i="11"/>
  <c r="C11" i="11"/>
  <c r="M11" i="11" s="1"/>
  <c r="S10" i="11"/>
  <c r="L10" i="11"/>
  <c r="C10" i="11"/>
  <c r="M10" i="11" s="1"/>
  <c r="S9" i="11"/>
  <c r="L9" i="11"/>
  <c r="C9" i="11"/>
  <c r="M9" i="11" s="1"/>
  <c r="S8" i="11"/>
  <c r="L8" i="11"/>
  <c r="C8" i="11"/>
  <c r="M8" i="11" s="1"/>
  <c r="S7" i="11"/>
  <c r="L7" i="11"/>
  <c r="C7" i="11"/>
  <c r="M7" i="11" s="1"/>
  <c r="S6" i="11"/>
  <c r="L6" i="11"/>
  <c r="C6" i="11"/>
  <c r="F6" i="11" s="1"/>
  <c r="G6" i="11" s="1"/>
  <c r="U6" i="11" s="1"/>
  <c r="S5" i="11"/>
  <c r="L5" i="11"/>
  <c r="C5" i="11"/>
  <c r="M5" i="11" s="1"/>
  <c r="S4" i="11"/>
  <c r="L4" i="11"/>
  <c r="C4" i="11"/>
  <c r="F4" i="11" s="1"/>
  <c r="G4" i="11" s="1"/>
  <c r="U4" i="11" s="1"/>
  <c r="S3" i="11"/>
  <c r="L3" i="11"/>
  <c r="J3" i="11"/>
  <c r="J4" i="11" s="1"/>
  <c r="J5" i="11" s="1"/>
  <c r="J6" i="11" s="1"/>
  <c r="J7" i="11" s="1"/>
  <c r="J8" i="11" s="1"/>
  <c r="J9" i="11" s="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7" i="11" s="1"/>
  <c r="J28" i="11" s="1"/>
  <c r="J29" i="11" s="1"/>
  <c r="J30" i="11" s="1"/>
  <c r="J31" i="11" s="1"/>
  <c r="J32" i="11" s="1"/>
  <c r="J33" i="11" s="1"/>
  <c r="J34" i="11" s="1"/>
  <c r="J35" i="11" s="1"/>
  <c r="J36" i="11" s="1"/>
  <c r="J37" i="11" s="1"/>
  <c r="J38" i="11" s="1"/>
  <c r="J39" i="11" s="1"/>
  <c r="J40" i="11" s="1"/>
  <c r="J41" i="11" s="1"/>
  <c r="J42" i="11" s="1"/>
  <c r="J43" i="11" s="1"/>
  <c r="J44" i="11" s="1"/>
  <c r="J45" i="11" s="1"/>
  <c r="J46" i="11" s="1"/>
  <c r="J47" i="11" s="1"/>
  <c r="J48" i="11" s="1"/>
  <c r="J49" i="11" s="1"/>
  <c r="J50" i="11" s="1"/>
  <c r="J51" i="11" s="1"/>
  <c r="J52" i="11" s="1"/>
  <c r="J53" i="11" s="1"/>
  <c r="J54" i="11" s="1"/>
  <c r="J55" i="11" s="1"/>
  <c r="J56" i="11" s="1"/>
  <c r="J57" i="11" s="1"/>
  <c r="J58" i="11" s="1"/>
  <c r="J59" i="11" s="1"/>
  <c r="J60" i="11" s="1"/>
  <c r="J61" i="11" s="1"/>
  <c r="J62" i="11" s="1"/>
  <c r="J63" i="11" s="1"/>
  <c r="J64" i="11" s="1"/>
  <c r="J65" i="11" s="1"/>
  <c r="J66" i="11" s="1"/>
  <c r="J67" i="11" s="1"/>
  <c r="J68" i="11" s="1"/>
  <c r="J69" i="11" s="1"/>
  <c r="J70" i="11" s="1"/>
  <c r="J71" i="11" s="1"/>
  <c r="J72" i="11" s="1"/>
  <c r="J73" i="11" s="1"/>
  <c r="J74" i="11" s="1"/>
  <c r="J75" i="11" s="1"/>
  <c r="J76" i="11" s="1"/>
  <c r="J77" i="11" s="1"/>
  <c r="J78" i="11" s="1"/>
  <c r="J79" i="11" s="1"/>
  <c r="J80" i="11" s="1"/>
  <c r="J81" i="11" s="1"/>
  <c r="J82" i="11" s="1"/>
  <c r="J83" i="11" s="1"/>
  <c r="J84" i="11" s="1"/>
  <c r="J85" i="11" s="1"/>
  <c r="J86" i="11" s="1"/>
  <c r="J87" i="11" s="1"/>
  <c r="J88" i="11" s="1"/>
  <c r="J89" i="11" s="1"/>
  <c r="J90" i="11" s="1"/>
  <c r="J91" i="11" s="1"/>
  <c r="J92" i="11" s="1"/>
  <c r="J93" i="11" s="1"/>
  <c r="J94" i="11" s="1"/>
  <c r="J95" i="11" s="1"/>
  <c r="J96" i="11" s="1"/>
  <c r="J97" i="11" s="1"/>
  <c r="J98" i="11" s="1"/>
  <c r="J99" i="11" s="1"/>
  <c r="J100" i="11" s="1"/>
  <c r="J101" i="11" s="1"/>
  <c r="J102" i="11" s="1"/>
  <c r="J103" i="11" s="1"/>
  <c r="J104" i="11" s="1"/>
  <c r="J105" i="11" s="1"/>
  <c r="J106" i="11" s="1"/>
  <c r="J107" i="11" s="1"/>
  <c r="J108" i="11" s="1"/>
  <c r="J109" i="11" s="1"/>
  <c r="J110" i="11" s="1"/>
  <c r="J111" i="11" s="1"/>
  <c r="J112" i="11" s="1"/>
  <c r="J113" i="11" s="1"/>
  <c r="J114" i="11" s="1"/>
  <c r="J115" i="11" s="1"/>
  <c r="J116" i="11" s="1"/>
  <c r="J117" i="11" s="1"/>
  <c r="J118" i="11" s="1"/>
  <c r="J119" i="11" s="1"/>
  <c r="J120" i="11" s="1"/>
  <c r="J121" i="11" s="1"/>
  <c r="J122" i="11" s="1"/>
  <c r="J123" i="11" s="1"/>
  <c r="J124" i="11" s="1"/>
  <c r="J125" i="11" s="1"/>
  <c r="J126" i="11" s="1"/>
  <c r="J127" i="11" s="1"/>
  <c r="J128" i="11" s="1"/>
  <c r="J129" i="11" s="1"/>
  <c r="J130" i="11" s="1"/>
  <c r="J131" i="11" s="1"/>
  <c r="J132" i="11" s="1"/>
  <c r="J133" i="11" s="1"/>
  <c r="J134" i="11" s="1"/>
  <c r="J135" i="11" s="1"/>
  <c r="J136" i="11" s="1"/>
  <c r="J137" i="11" s="1"/>
  <c r="J138" i="11" s="1"/>
  <c r="J139" i="11" s="1"/>
  <c r="J140" i="11" s="1"/>
  <c r="J141" i="11" s="1"/>
  <c r="J142" i="11" s="1"/>
  <c r="J143" i="11" s="1"/>
  <c r="J144" i="11" s="1"/>
  <c r="J145" i="11" s="1"/>
  <c r="J146" i="11" s="1"/>
  <c r="J147" i="11" s="1"/>
  <c r="J148" i="11" s="1"/>
  <c r="J149" i="11" s="1"/>
  <c r="J150" i="11" s="1"/>
  <c r="J151" i="11" s="1"/>
  <c r="J152" i="11" s="1"/>
  <c r="J153" i="11" s="1"/>
  <c r="J154" i="11" s="1"/>
  <c r="J155" i="11" s="1"/>
  <c r="J156" i="11" s="1"/>
  <c r="J157" i="11" s="1"/>
  <c r="J158" i="11" s="1"/>
  <c r="J159" i="11" s="1"/>
  <c r="J160" i="11" s="1"/>
  <c r="J161" i="11" s="1"/>
  <c r="J162" i="11" s="1"/>
  <c r="J163" i="11" s="1"/>
  <c r="J164" i="11" s="1"/>
  <c r="J165" i="11" s="1"/>
  <c r="J166" i="11" s="1"/>
  <c r="J167" i="11" s="1"/>
  <c r="J168" i="11" s="1"/>
  <c r="J169" i="11" s="1"/>
  <c r="J170" i="11" s="1"/>
  <c r="J171" i="11" s="1"/>
  <c r="J172" i="11" s="1"/>
  <c r="J173" i="11" s="1"/>
  <c r="J174" i="11" s="1"/>
  <c r="J175" i="11" s="1"/>
  <c r="J176" i="11" s="1"/>
  <c r="J177" i="11" s="1"/>
  <c r="J178" i="11" s="1"/>
  <c r="J179" i="11" s="1"/>
  <c r="J180" i="11" s="1"/>
  <c r="J181" i="11" s="1"/>
  <c r="J182" i="11" s="1"/>
  <c r="J183" i="11" s="1"/>
  <c r="J184" i="11" s="1"/>
  <c r="J185" i="11" s="1"/>
  <c r="J186" i="11" s="1"/>
  <c r="J187" i="11" s="1"/>
  <c r="J188" i="11" s="1"/>
  <c r="J189" i="11" s="1"/>
  <c r="J190" i="11" s="1"/>
  <c r="J191" i="11" s="1"/>
  <c r="J192" i="11" s="1"/>
  <c r="J193" i="11" s="1"/>
  <c r="J194" i="11" s="1"/>
  <c r="J195" i="11" s="1"/>
  <c r="J196" i="11" s="1"/>
  <c r="J197" i="11" s="1"/>
  <c r="J198" i="11" s="1"/>
  <c r="J199" i="11" s="1"/>
  <c r="J200" i="11" s="1"/>
  <c r="J201" i="11" s="1"/>
  <c r="J202" i="11" s="1"/>
  <c r="J203" i="11" s="1"/>
  <c r="J204" i="11" s="1"/>
  <c r="J205" i="11" s="1"/>
  <c r="J206" i="11" s="1"/>
  <c r="J207" i="11" s="1"/>
  <c r="J208" i="11" s="1"/>
  <c r="J209" i="11" s="1"/>
  <c r="J210" i="11" s="1"/>
  <c r="J211" i="11" s="1"/>
  <c r="J212" i="11" s="1"/>
  <c r="J213" i="11" s="1"/>
  <c r="J214" i="11" s="1"/>
  <c r="J215" i="11" s="1"/>
  <c r="J216" i="11" s="1"/>
  <c r="J217" i="11" s="1"/>
  <c r="J218" i="11" s="1"/>
  <c r="J219" i="11" s="1"/>
  <c r="J220" i="11" s="1"/>
  <c r="J221" i="11" s="1"/>
  <c r="J222" i="11" s="1"/>
  <c r="J223" i="11" s="1"/>
  <c r="J224" i="11" s="1"/>
  <c r="J225" i="11" s="1"/>
  <c r="J226" i="11" s="1"/>
  <c r="J227" i="11" s="1"/>
  <c r="J228" i="11" s="1"/>
  <c r="J229" i="11" s="1"/>
  <c r="J230" i="11" s="1"/>
  <c r="J231" i="11" s="1"/>
  <c r="J232" i="11" s="1"/>
  <c r="J233" i="11" s="1"/>
  <c r="J234" i="11" s="1"/>
  <c r="J235" i="11" s="1"/>
  <c r="J236" i="11" s="1"/>
  <c r="J237" i="11" s="1"/>
  <c r="J238" i="11" s="1"/>
  <c r="J239" i="11" s="1"/>
  <c r="J240" i="11" s="1"/>
  <c r="J241" i="11" s="1"/>
  <c r="J242" i="11" s="1"/>
  <c r="J243" i="11" s="1"/>
  <c r="J244" i="11" s="1"/>
  <c r="J245" i="11" s="1"/>
  <c r="J246" i="11" s="1"/>
  <c r="J247" i="11" s="1"/>
  <c r="J248" i="11" s="1"/>
  <c r="J249" i="11" s="1"/>
  <c r="J250" i="11" s="1"/>
  <c r="J251" i="11" s="1"/>
  <c r="J252" i="11" s="1"/>
  <c r="J253" i="11" s="1"/>
  <c r="J254" i="11" s="1"/>
  <c r="E3" i="11"/>
  <c r="C3" i="11"/>
  <c r="F3" i="11" s="1"/>
  <c r="G3" i="11" s="1"/>
  <c r="U3" i="11" s="1"/>
  <c r="S2" i="11"/>
  <c r="C2" i="11"/>
  <c r="F2" i="11" s="1"/>
  <c r="G2" i="11" s="1"/>
  <c r="U2" i="11" s="1"/>
  <c r="S256" i="11" l="1"/>
  <c r="T99" i="11"/>
  <c r="T75" i="11"/>
  <c r="T10" i="11"/>
  <c r="T18" i="11"/>
  <c r="T26" i="11"/>
  <c r="T68" i="11"/>
  <c r="T248" i="11"/>
  <c r="T240" i="11"/>
  <c r="T232" i="11"/>
  <c r="T224" i="11"/>
  <c r="T216" i="11"/>
  <c r="T208" i="11"/>
  <c r="T200" i="11"/>
  <c r="T192" i="11"/>
  <c r="T184" i="11"/>
  <c r="T176" i="11"/>
  <c r="T168" i="11"/>
  <c r="T160" i="11"/>
  <c r="T152" i="11"/>
  <c r="T144" i="11"/>
  <c r="T72" i="11"/>
  <c r="T252" i="11"/>
  <c r="T244" i="11"/>
  <c r="T236" i="11"/>
  <c r="T228" i="11"/>
  <c r="T220" i="11"/>
  <c r="T204" i="11"/>
  <c r="T196" i="11"/>
  <c r="T188" i="11"/>
  <c r="T180" i="11"/>
  <c r="T172" i="11"/>
  <c r="T132" i="11"/>
  <c r="T124" i="11"/>
  <c r="T116" i="11"/>
  <c r="T108" i="11"/>
  <c r="T84" i="11"/>
  <c r="T212" i="11"/>
  <c r="T156" i="11"/>
  <c r="T148" i="11"/>
  <c r="T140" i="11"/>
  <c r="T100" i="11"/>
  <c r="T71" i="11"/>
  <c r="T251" i="11"/>
  <c r="T243" i="11"/>
  <c r="T235" i="11"/>
  <c r="T227" i="11"/>
  <c r="T219" i="11"/>
  <c r="T211" i="11"/>
  <c r="T203" i="11"/>
  <c r="T195" i="11"/>
  <c r="T131" i="11"/>
  <c r="T123" i="11"/>
  <c r="T115" i="11"/>
  <c r="T107" i="11"/>
  <c r="T91" i="11"/>
  <c r="T70" i="11"/>
  <c r="T242" i="11"/>
  <c r="T234" i="11"/>
  <c r="T226" i="11"/>
  <c r="T218" i="11"/>
  <c r="T210" i="11"/>
  <c r="T202" i="11"/>
  <c r="T194" i="11"/>
  <c r="T170" i="11"/>
  <c r="T162" i="11"/>
  <c r="T154" i="11"/>
  <c r="T146" i="11"/>
  <c r="T138" i="11"/>
  <c r="T130" i="11"/>
  <c r="T122" i="11"/>
  <c r="T114" i="11"/>
  <c r="T98" i="11"/>
  <c r="T90" i="11"/>
  <c r="T82" i="11"/>
  <c r="T74" i="11"/>
  <c r="T136" i="11"/>
  <c r="T83" i="11"/>
  <c r="T117" i="11"/>
  <c r="T187" i="11"/>
  <c r="T109" i="11"/>
  <c r="T179" i="11"/>
  <c r="T85" i="11"/>
  <c r="T171" i="11"/>
  <c r="T128" i="11"/>
  <c r="T120" i="11"/>
  <c r="T101" i="11"/>
  <c r="T163" i="11"/>
  <c r="T164" i="11"/>
  <c r="T155" i="11"/>
  <c r="T112" i="11"/>
  <c r="T253" i="11"/>
  <c r="T245" i="11"/>
  <c r="T237" i="11"/>
  <c r="T229" i="11"/>
  <c r="T221" i="11"/>
  <c r="T213" i="11"/>
  <c r="T205" i="11"/>
  <c r="T197" i="11"/>
  <c r="T189" i="11"/>
  <c r="T181" i="11"/>
  <c r="T173" i="11"/>
  <c r="T165" i="11"/>
  <c r="T157" i="11"/>
  <c r="T149" i="11"/>
  <c r="T141" i="11"/>
  <c r="T133" i="11"/>
  <c r="T125" i="11"/>
  <c r="T93" i="11"/>
  <c r="T77" i="11"/>
  <c r="T139" i="11"/>
  <c r="T6" i="11"/>
  <c r="T34" i="11"/>
  <c r="T42" i="11"/>
  <c r="T50" i="11"/>
  <c r="T58" i="11"/>
  <c r="T104" i="11"/>
  <c r="T96" i="11"/>
  <c r="T88" i="11"/>
  <c r="T80" i="11"/>
  <c r="T246" i="11"/>
  <c r="T230" i="11"/>
  <c r="T222" i="11"/>
  <c r="T147" i="11"/>
  <c r="T254" i="11"/>
  <c r="T238" i="11"/>
  <c r="T214" i="11"/>
  <c r="T206" i="11"/>
  <c r="T198" i="11"/>
  <c r="T190" i="11"/>
  <c r="T182" i="11"/>
  <c r="T174" i="11"/>
  <c r="T166" i="11"/>
  <c r="T158" i="11"/>
  <c r="T150" i="11"/>
  <c r="T142" i="11"/>
  <c r="T134" i="11"/>
  <c r="T126" i="11"/>
  <c r="T118" i="11"/>
  <c r="T110" i="11"/>
  <c r="T102" i="11"/>
  <c r="T94" i="11"/>
  <c r="T86" i="11"/>
  <c r="T78" i="11"/>
  <c r="T3" i="11"/>
  <c r="T22" i="11"/>
  <c r="T30" i="11"/>
  <c r="T38" i="11"/>
  <c r="T46" i="11"/>
  <c r="T54" i="11"/>
  <c r="T62" i="11"/>
  <c r="T92" i="11"/>
  <c r="T76" i="11"/>
  <c r="T7" i="11"/>
  <c r="T15" i="11"/>
  <c r="T23" i="11"/>
  <c r="T31" i="11"/>
  <c r="T39" i="11"/>
  <c r="T47" i="11"/>
  <c r="T55" i="11"/>
  <c r="T63" i="11"/>
  <c r="T5" i="11"/>
  <c r="T13" i="11"/>
  <c r="T21" i="11"/>
  <c r="T29" i="11"/>
  <c r="T37" i="11"/>
  <c r="T45" i="11"/>
  <c r="T53" i="11"/>
  <c r="T61" i="11"/>
  <c r="T67" i="11"/>
  <c r="T247" i="11"/>
  <c r="T239" i="11"/>
  <c r="T231" i="11"/>
  <c r="T223" i="11"/>
  <c r="T215" i="11"/>
  <c r="T207" i="11"/>
  <c r="T199" i="11"/>
  <c r="T191" i="11"/>
  <c r="T183" i="11"/>
  <c r="T175" i="11"/>
  <c r="T167" i="11"/>
  <c r="T159" i="11"/>
  <c r="T151" i="11"/>
  <c r="T143" i="11"/>
  <c r="T135" i="11"/>
  <c r="T127" i="11"/>
  <c r="T119" i="11"/>
  <c r="T111" i="11"/>
  <c r="T103" i="11"/>
  <c r="T95" i="11"/>
  <c r="T87" i="11"/>
  <c r="T79" i="11"/>
  <c r="T16" i="11"/>
  <c r="T24" i="11"/>
  <c r="T32" i="11"/>
  <c r="T40" i="11"/>
  <c r="T48" i="11"/>
  <c r="T56" i="11"/>
  <c r="T64" i="11"/>
  <c r="T43" i="11"/>
  <c r="T66" i="11"/>
  <c r="T8" i="11"/>
  <c r="T19" i="11"/>
  <c r="T35" i="11"/>
  <c r="T14" i="11"/>
  <c r="T27" i="11"/>
  <c r="T51" i="11"/>
  <c r="T59" i="11"/>
  <c r="T9" i="11"/>
  <c r="T17" i="11"/>
  <c r="T25" i="11"/>
  <c r="T33" i="11"/>
  <c r="T41" i="11"/>
  <c r="T49" i="11"/>
  <c r="T57" i="11"/>
  <c r="T65" i="11"/>
  <c r="T11" i="11"/>
  <c r="T4" i="11"/>
  <c r="T12" i="11"/>
  <c r="T20" i="11"/>
  <c r="T28" i="11"/>
  <c r="T36" i="11"/>
  <c r="T44" i="11"/>
  <c r="T52" i="11"/>
  <c r="T60" i="11"/>
  <c r="T250" i="11"/>
  <c r="T186" i="11"/>
  <c r="T178" i="11"/>
  <c r="T106" i="11"/>
  <c r="T69" i="11"/>
  <c r="T249" i="11"/>
  <c r="T241" i="11"/>
  <c r="T233" i="11"/>
  <c r="T225" i="11"/>
  <c r="T217" i="11"/>
  <c r="T209" i="11"/>
  <c r="T201" i="11"/>
  <c r="T193" i="11"/>
  <c r="T185" i="11"/>
  <c r="T177" i="11"/>
  <c r="T169" i="11"/>
  <c r="T161" i="11"/>
  <c r="T153" i="11"/>
  <c r="T145" i="11"/>
  <c r="T137" i="11"/>
  <c r="T129" i="11"/>
  <c r="T121" i="11"/>
  <c r="T113" i="11"/>
  <c r="T105" i="11"/>
  <c r="T97" i="11"/>
  <c r="T89" i="11"/>
  <c r="T81" i="11"/>
  <c r="T73" i="11"/>
  <c r="F135" i="11"/>
  <c r="G135" i="11" s="1"/>
  <c r="U135" i="11" s="1"/>
  <c r="F112" i="11"/>
  <c r="G112" i="11" s="1"/>
  <c r="U112" i="11" s="1"/>
  <c r="M161" i="11"/>
  <c r="F187" i="11"/>
  <c r="G187" i="11" s="1"/>
  <c r="U187" i="11" s="1"/>
  <c r="F74" i="11"/>
  <c r="G74" i="11" s="1"/>
  <c r="U74" i="11" s="1"/>
  <c r="M129" i="11"/>
  <c r="M97" i="11"/>
  <c r="F154" i="11"/>
  <c r="G154" i="11" s="1"/>
  <c r="U154" i="11" s="1"/>
  <c r="F102" i="11"/>
  <c r="G102" i="11" s="1"/>
  <c r="U102" i="11" s="1"/>
  <c r="F145" i="11"/>
  <c r="G145" i="11" s="1"/>
  <c r="U145" i="11" s="1"/>
  <c r="F197" i="11"/>
  <c r="G197" i="11" s="1"/>
  <c r="U197" i="11" s="1"/>
  <c r="F83" i="11"/>
  <c r="G83" i="11" s="1"/>
  <c r="U83" i="11" s="1"/>
  <c r="M193" i="11"/>
  <c r="H14" i="11"/>
  <c r="H4" i="11"/>
  <c r="H15" i="11"/>
  <c r="H31" i="11"/>
  <c r="H39" i="11"/>
  <c r="H47" i="11"/>
  <c r="H55" i="11"/>
  <c r="H16" i="11"/>
  <c r="H242" i="11"/>
  <c r="H218" i="11"/>
  <c r="H202" i="11"/>
  <c r="H254" i="11"/>
  <c r="H246" i="11"/>
  <c r="H238" i="11"/>
  <c r="H230" i="11"/>
  <c r="H214" i="11"/>
  <c r="M204" i="11"/>
  <c r="F204" i="11"/>
  <c r="G204" i="11" s="1"/>
  <c r="U204" i="11" s="1"/>
  <c r="M140" i="11"/>
  <c r="F140" i="11"/>
  <c r="G140" i="11" s="1"/>
  <c r="U140" i="11" s="1"/>
  <c r="F124" i="11"/>
  <c r="G124" i="11" s="1"/>
  <c r="U124" i="11" s="1"/>
  <c r="M124" i="11"/>
  <c r="F108" i="11"/>
  <c r="G108" i="11" s="1"/>
  <c r="U108" i="11" s="1"/>
  <c r="M108" i="11"/>
  <c r="F92" i="11"/>
  <c r="G92" i="11" s="1"/>
  <c r="U92" i="11" s="1"/>
  <c r="M92" i="11"/>
  <c r="F84" i="11"/>
  <c r="G84" i="11" s="1"/>
  <c r="U84" i="11" s="1"/>
  <c r="M84" i="11"/>
  <c r="F76" i="11"/>
  <c r="G76" i="11" s="1"/>
  <c r="U76" i="11" s="1"/>
  <c r="M76" i="11"/>
  <c r="F68" i="11"/>
  <c r="G68" i="11" s="1"/>
  <c r="U68" i="11" s="1"/>
  <c r="M68" i="11"/>
  <c r="F60" i="11"/>
  <c r="G60" i="11" s="1"/>
  <c r="U60" i="11" s="1"/>
  <c r="F44" i="11"/>
  <c r="G44" i="11" s="1"/>
  <c r="U44" i="11" s="1"/>
  <c r="F28" i="11"/>
  <c r="G28" i="11" s="1"/>
  <c r="U28" i="11" s="1"/>
  <c r="F12" i="11"/>
  <c r="G12" i="11" s="1"/>
  <c r="U12" i="11" s="1"/>
  <c r="F5" i="11"/>
  <c r="G5" i="11" s="1"/>
  <c r="U5" i="11" s="1"/>
  <c r="F249" i="11"/>
  <c r="G249" i="11" s="1"/>
  <c r="U249" i="11" s="1"/>
  <c r="F233" i="11"/>
  <c r="G233" i="11" s="1"/>
  <c r="U233" i="11" s="1"/>
  <c r="F164" i="11"/>
  <c r="G164" i="11" s="1"/>
  <c r="U164" i="11" s="1"/>
  <c r="M250" i="11"/>
  <c r="M246" i="11"/>
  <c r="M242" i="11"/>
  <c r="M238" i="11"/>
  <c r="M234" i="11"/>
  <c r="M230" i="11"/>
  <c r="F188" i="11"/>
  <c r="G188" i="11" s="1"/>
  <c r="U188" i="11" s="1"/>
  <c r="M188" i="11"/>
  <c r="M227" i="11"/>
  <c r="F227" i="11"/>
  <c r="G227" i="11" s="1"/>
  <c r="U227" i="11" s="1"/>
  <c r="M211" i="11"/>
  <c r="F211" i="11"/>
  <c r="G211" i="11" s="1"/>
  <c r="U211" i="11" s="1"/>
  <c r="F195" i="11"/>
  <c r="G195" i="11" s="1"/>
  <c r="U195" i="11" s="1"/>
  <c r="M195" i="11"/>
  <c r="F179" i="11"/>
  <c r="G179" i="11" s="1"/>
  <c r="U179" i="11" s="1"/>
  <c r="M179" i="11"/>
  <c r="M163" i="11"/>
  <c r="F163" i="11"/>
  <c r="G163" i="11" s="1"/>
  <c r="U163" i="11" s="1"/>
  <c r="M147" i="11"/>
  <c r="F147" i="11"/>
  <c r="G147" i="11" s="1"/>
  <c r="U147" i="11" s="1"/>
  <c r="F131" i="11"/>
  <c r="G131" i="11" s="1"/>
  <c r="U131" i="11" s="1"/>
  <c r="M131" i="11"/>
  <c r="F115" i="11"/>
  <c r="G115" i="11" s="1"/>
  <c r="U115" i="11" s="1"/>
  <c r="M115" i="11"/>
  <c r="M99" i="11"/>
  <c r="F99" i="11"/>
  <c r="G99" i="11" s="1"/>
  <c r="U99" i="11" s="1"/>
  <c r="F56" i="11"/>
  <c r="G56" i="11" s="1"/>
  <c r="U56" i="11" s="1"/>
  <c r="F53" i="11"/>
  <c r="G53" i="11" s="1"/>
  <c r="U53" i="11" s="1"/>
  <c r="F50" i="11"/>
  <c r="G50" i="11" s="1"/>
  <c r="U50" i="11" s="1"/>
  <c r="F40" i="11"/>
  <c r="G40" i="11" s="1"/>
  <c r="U40" i="11" s="1"/>
  <c r="F37" i="11"/>
  <c r="G37" i="11" s="1"/>
  <c r="U37" i="11" s="1"/>
  <c r="F34" i="11"/>
  <c r="G34" i="11" s="1"/>
  <c r="U34" i="11" s="1"/>
  <c r="F24" i="11"/>
  <c r="G24" i="11" s="1"/>
  <c r="U24" i="11" s="1"/>
  <c r="F21" i="11"/>
  <c r="G21" i="11" s="1"/>
  <c r="U21" i="11" s="1"/>
  <c r="F18" i="11"/>
  <c r="G18" i="11" s="1"/>
  <c r="U18" i="11" s="1"/>
  <c r="F8" i="11"/>
  <c r="G8" i="11" s="1"/>
  <c r="U8" i="11" s="1"/>
  <c r="F252" i="11"/>
  <c r="G252" i="11" s="1"/>
  <c r="U252" i="11" s="1"/>
  <c r="F236" i="11"/>
  <c r="G236" i="11" s="1"/>
  <c r="U236" i="11" s="1"/>
  <c r="F228" i="11"/>
  <c r="G228" i="11" s="1"/>
  <c r="U228" i="11" s="1"/>
  <c r="F224" i="11"/>
  <c r="G224" i="11" s="1"/>
  <c r="U224" i="11" s="1"/>
  <c r="F215" i="11"/>
  <c r="G215" i="11" s="1"/>
  <c r="U215" i="11" s="1"/>
  <c r="F192" i="11"/>
  <c r="G192" i="11" s="1"/>
  <c r="U192" i="11" s="1"/>
  <c r="F182" i="11"/>
  <c r="G182" i="11" s="1"/>
  <c r="U182" i="11" s="1"/>
  <c r="F149" i="11"/>
  <c r="G149" i="11" s="1"/>
  <c r="U149" i="11" s="1"/>
  <c r="F139" i="11"/>
  <c r="G139" i="11" s="1"/>
  <c r="U139" i="11" s="1"/>
  <c r="F116" i="11"/>
  <c r="G116" i="11" s="1"/>
  <c r="U116" i="11" s="1"/>
  <c r="F106" i="11"/>
  <c r="G106" i="11" s="1"/>
  <c r="U106" i="11" s="1"/>
  <c r="F87" i="11"/>
  <c r="G87" i="11" s="1"/>
  <c r="U87" i="11" s="1"/>
  <c r="F78" i="11"/>
  <c r="G78" i="11" s="1"/>
  <c r="U78" i="11" s="1"/>
  <c r="M225" i="11"/>
  <c r="M214" i="11"/>
  <c r="M209" i="11"/>
  <c r="M198" i="11"/>
  <c r="M173" i="11"/>
  <c r="M141" i="11"/>
  <c r="M109" i="11"/>
  <c r="M77" i="11"/>
  <c r="F220" i="11"/>
  <c r="G220" i="11" s="1"/>
  <c r="U220" i="11" s="1"/>
  <c r="M220" i="11"/>
  <c r="F156" i="11"/>
  <c r="G156" i="11" s="1"/>
  <c r="U156" i="11" s="1"/>
  <c r="M156" i="11"/>
  <c r="H210" i="11"/>
  <c r="M194" i="11"/>
  <c r="F194" i="11"/>
  <c r="G194" i="11" s="1"/>
  <c r="U194" i="11" s="1"/>
  <c r="F178" i="11"/>
  <c r="G178" i="11" s="1"/>
  <c r="U178" i="11" s="1"/>
  <c r="M178" i="11"/>
  <c r="M162" i="11"/>
  <c r="F162" i="11"/>
  <c r="G162" i="11" s="1"/>
  <c r="U162" i="11" s="1"/>
  <c r="M146" i="11"/>
  <c r="F146" i="11"/>
  <c r="G146" i="11" s="1"/>
  <c r="U146" i="11" s="1"/>
  <c r="M130" i="11"/>
  <c r="F130" i="11"/>
  <c r="G130" i="11" s="1"/>
  <c r="U130" i="11" s="1"/>
  <c r="F114" i="11"/>
  <c r="G114" i="11" s="1"/>
  <c r="U114" i="11" s="1"/>
  <c r="M114" i="11"/>
  <c r="M98" i="11"/>
  <c r="F98" i="11"/>
  <c r="G98" i="11" s="1"/>
  <c r="U98" i="11" s="1"/>
  <c r="F248" i="11"/>
  <c r="G248" i="11" s="1"/>
  <c r="U248" i="11" s="1"/>
  <c r="F240" i="11"/>
  <c r="G240" i="11" s="1"/>
  <c r="U240" i="11" s="1"/>
  <c r="F219" i="11"/>
  <c r="G219" i="11" s="1"/>
  <c r="U219" i="11" s="1"/>
  <c r="F196" i="11"/>
  <c r="G196" i="11" s="1"/>
  <c r="U196" i="11" s="1"/>
  <c r="F186" i="11"/>
  <c r="G186" i="11" s="1"/>
  <c r="U186" i="11" s="1"/>
  <c r="F177" i="11"/>
  <c r="G177" i="11" s="1"/>
  <c r="U177" i="11" s="1"/>
  <c r="F167" i="11"/>
  <c r="G167" i="11" s="1"/>
  <c r="U167" i="11" s="1"/>
  <c r="F144" i="11"/>
  <c r="G144" i="11" s="1"/>
  <c r="U144" i="11" s="1"/>
  <c r="F134" i="11"/>
  <c r="G134" i="11" s="1"/>
  <c r="U134" i="11" s="1"/>
  <c r="F101" i="11"/>
  <c r="G101" i="11" s="1"/>
  <c r="U101" i="11" s="1"/>
  <c r="F91" i="11"/>
  <c r="G91" i="11" s="1"/>
  <c r="U91" i="11" s="1"/>
  <c r="F82" i="11"/>
  <c r="G82" i="11" s="1"/>
  <c r="U82" i="11" s="1"/>
  <c r="M253" i="11"/>
  <c r="V254" i="11" s="1"/>
  <c r="M245" i="11"/>
  <c r="M241" i="11"/>
  <c r="M237" i="11"/>
  <c r="M229" i="11"/>
  <c r="M185" i="11"/>
  <c r="M153" i="11"/>
  <c r="M121" i="11"/>
  <c r="M89" i="11"/>
  <c r="F172" i="11"/>
  <c r="G172" i="11" s="1"/>
  <c r="U172" i="11" s="1"/>
  <c r="M172" i="11"/>
  <c r="M22" i="11"/>
  <c r="F59" i="11"/>
  <c r="G59" i="11" s="1"/>
  <c r="U59" i="11" s="1"/>
  <c r="F23" i="11"/>
  <c r="G23" i="11" s="1"/>
  <c r="U23" i="11" s="1"/>
  <c r="F17" i="11"/>
  <c r="G17" i="11" s="1"/>
  <c r="U17" i="11" s="1"/>
  <c r="F11" i="11"/>
  <c r="G11" i="11" s="1"/>
  <c r="U11" i="11" s="1"/>
  <c r="F7" i="11"/>
  <c r="G7" i="11" s="1"/>
  <c r="U7" i="11" s="1"/>
  <c r="F251" i="11"/>
  <c r="G251" i="11" s="1"/>
  <c r="U251" i="11" s="1"/>
  <c r="F244" i="11"/>
  <c r="G244" i="11" s="1"/>
  <c r="U244" i="11" s="1"/>
  <c r="F235" i="11"/>
  <c r="G235" i="11" s="1"/>
  <c r="U235" i="11" s="1"/>
  <c r="F231" i="11"/>
  <c r="G231" i="11" s="1"/>
  <c r="U231" i="11" s="1"/>
  <c r="F181" i="11"/>
  <c r="G181" i="11" s="1"/>
  <c r="U181" i="11" s="1"/>
  <c r="F171" i="11"/>
  <c r="G171" i="11" s="1"/>
  <c r="U171" i="11" s="1"/>
  <c r="F148" i="11"/>
  <c r="G148" i="11" s="1"/>
  <c r="U148" i="11" s="1"/>
  <c r="F138" i="11"/>
  <c r="G138" i="11" s="1"/>
  <c r="U138" i="11" s="1"/>
  <c r="F119" i="11"/>
  <c r="G119" i="11" s="1"/>
  <c r="U119" i="11" s="1"/>
  <c r="F96" i="11"/>
  <c r="G96" i="11" s="1"/>
  <c r="U96" i="11" s="1"/>
  <c r="F86" i="11"/>
  <c r="G86" i="11" s="1"/>
  <c r="U86" i="11" s="1"/>
  <c r="M218" i="11"/>
  <c r="M213" i="11"/>
  <c r="M202" i="11"/>
  <c r="M165" i="11"/>
  <c r="M133" i="11"/>
  <c r="M69" i="11"/>
  <c r="F216" i="11"/>
  <c r="G216" i="11" s="1"/>
  <c r="U216" i="11" s="1"/>
  <c r="M216" i="11"/>
  <c r="F200" i="11"/>
  <c r="G200" i="11" s="1"/>
  <c r="U200" i="11" s="1"/>
  <c r="M200" i="11"/>
  <c r="M184" i="11"/>
  <c r="F184" i="11"/>
  <c r="G184" i="11" s="1"/>
  <c r="U184" i="11" s="1"/>
  <c r="F168" i="11"/>
  <c r="G168" i="11" s="1"/>
  <c r="U168" i="11" s="1"/>
  <c r="M168" i="11"/>
  <c r="F152" i="11"/>
  <c r="G152" i="11" s="1"/>
  <c r="U152" i="11" s="1"/>
  <c r="M152" i="11"/>
  <c r="F136" i="11"/>
  <c r="G136" i="11" s="1"/>
  <c r="U136" i="11" s="1"/>
  <c r="M136" i="11"/>
  <c r="M120" i="11"/>
  <c r="F120" i="11"/>
  <c r="G120" i="11" s="1"/>
  <c r="U120" i="11" s="1"/>
  <c r="F104" i="11"/>
  <c r="G104" i="11" s="1"/>
  <c r="U104" i="11" s="1"/>
  <c r="M104" i="11"/>
  <c r="F88" i="11"/>
  <c r="G88" i="11" s="1"/>
  <c r="U88" i="11" s="1"/>
  <c r="M88" i="11"/>
  <c r="M80" i="11"/>
  <c r="F80" i="11"/>
  <c r="G80" i="11" s="1"/>
  <c r="U80" i="11" s="1"/>
  <c r="F72" i="11"/>
  <c r="G72" i="11" s="1"/>
  <c r="U72" i="11" s="1"/>
  <c r="M72" i="11"/>
  <c r="F52" i="11"/>
  <c r="G52" i="11" s="1"/>
  <c r="U52" i="11" s="1"/>
  <c r="F36" i="11"/>
  <c r="G36" i="11" s="1"/>
  <c r="U36" i="11" s="1"/>
  <c r="F20" i="11"/>
  <c r="G20" i="11" s="1"/>
  <c r="U20" i="11" s="1"/>
  <c r="F247" i="11"/>
  <c r="G247" i="11" s="1"/>
  <c r="U247" i="11" s="1"/>
  <c r="F239" i="11"/>
  <c r="G239" i="11" s="1"/>
  <c r="U239" i="11" s="1"/>
  <c r="F223" i="11"/>
  <c r="G223" i="11" s="1"/>
  <c r="U223" i="11" s="1"/>
  <c r="F199" i="11"/>
  <c r="G199" i="11" s="1"/>
  <c r="U199" i="11" s="1"/>
  <c r="F176" i="11"/>
  <c r="G176" i="11" s="1"/>
  <c r="U176" i="11" s="1"/>
  <c r="F166" i="11"/>
  <c r="G166" i="11" s="1"/>
  <c r="U166" i="11" s="1"/>
  <c r="F123" i="11"/>
  <c r="G123" i="11" s="1"/>
  <c r="U123" i="11" s="1"/>
  <c r="F100" i="11"/>
  <c r="G100" i="11" s="1"/>
  <c r="U100" i="11" s="1"/>
  <c r="F90" i="11"/>
  <c r="G90" i="11" s="1"/>
  <c r="U90" i="11" s="1"/>
  <c r="F67" i="11"/>
  <c r="G67" i="11" s="1"/>
  <c r="U67" i="11" s="1"/>
  <c r="M232" i="11"/>
  <c r="M113" i="11"/>
  <c r="M81" i="11"/>
  <c r="M207" i="11"/>
  <c r="F207" i="11"/>
  <c r="G207" i="11" s="1"/>
  <c r="U207" i="11" s="1"/>
  <c r="M191" i="11"/>
  <c r="F191" i="11"/>
  <c r="G191" i="11" s="1"/>
  <c r="U191" i="11" s="1"/>
  <c r="F175" i="11"/>
  <c r="G175" i="11" s="1"/>
  <c r="U175" i="11" s="1"/>
  <c r="M175" i="11"/>
  <c r="F159" i="11"/>
  <c r="G159" i="11" s="1"/>
  <c r="U159" i="11" s="1"/>
  <c r="M159" i="11"/>
  <c r="M143" i="11"/>
  <c r="F143" i="11"/>
  <c r="G143" i="11" s="1"/>
  <c r="U143" i="11" s="1"/>
  <c r="M127" i="11"/>
  <c r="F127" i="11"/>
  <c r="G127" i="11" s="1"/>
  <c r="U127" i="11" s="1"/>
  <c r="F111" i="11"/>
  <c r="G111" i="11" s="1"/>
  <c r="U111" i="11" s="1"/>
  <c r="M111" i="11"/>
  <c r="F95" i="11"/>
  <c r="G95" i="11" s="1"/>
  <c r="U95" i="11" s="1"/>
  <c r="M95" i="11"/>
  <c r="F64" i="11"/>
  <c r="G64" i="11" s="1"/>
  <c r="U64" i="11" s="1"/>
  <c r="F61" i="11"/>
  <c r="G61" i="11" s="1"/>
  <c r="U61" i="11" s="1"/>
  <c r="F58" i="11"/>
  <c r="G58" i="11" s="1"/>
  <c r="U58" i="11" s="1"/>
  <c r="F48" i="11"/>
  <c r="G48" i="11" s="1"/>
  <c r="U48" i="11" s="1"/>
  <c r="F45" i="11"/>
  <c r="G45" i="11" s="1"/>
  <c r="U45" i="11" s="1"/>
  <c r="F42" i="11"/>
  <c r="G42" i="11" s="1"/>
  <c r="U42" i="11" s="1"/>
  <c r="F32" i="11"/>
  <c r="G32" i="11" s="1"/>
  <c r="U32" i="11" s="1"/>
  <c r="F29" i="11"/>
  <c r="G29" i="11" s="1"/>
  <c r="U29" i="11" s="1"/>
  <c r="F26" i="11"/>
  <c r="G26" i="11" s="1"/>
  <c r="U26" i="11" s="1"/>
  <c r="F10" i="11"/>
  <c r="G10" i="11" s="1"/>
  <c r="U10" i="11" s="1"/>
  <c r="F66" i="11"/>
  <c r="G66" i="11" s="1"/>
  <c r="U66" i="11" s="1"/>
  <c r="F243" i="11"/>
  <c r="G243" i="11" s="1"/>
  <c r="U243" i="11" s="1"/>
  <c r="F226" i="11"/>
  <c r="G226" i="11" s="1"/>
  <c r="U226" i="11" s="1"/>
  <c r="F203" i="11"/>
  <c r="G203" i="11" s="1"/>
  <c r="U203" i="11" s="1"/>
  <c r="F180" i="11"/>
  <c r="G180" i="11" s="1"/>
  <c r="U180" i="11" s="1"/>
  <c r="F170" i="11"/>
  <c r="G170" i="11" s="1"/>
  <c r="U170" i="11" s="1"/>
  <c r="F151" i="11"/>
  <c r="G151" i="11" s="1"/>
  <c r="U151" i="11" s="1"/>
  <c r="F128" i="11"/>
  <c r="G128" i="11" s="1"/>
  <c r="U128" i="11" s="1"/>
  <c r="F118" i="11"/>
  <c r="G118" i="11" s="1"/>
  <c r="U118" i="11" s="1"/>
  <c r="F71" i="11"/>
  <c r="G71" i="11" s="1"/>
  <c r="U71" i="11" s="1"/>
  <c r="M222" i="11"/>
  <c r="M217" i="11"/>
  <c r="M206" i="11"/>
  <c r="M201" i="11"/>
  <c r="M189" i="11"/>
  <c r="M157" i="11"/>
  <c r="M125" i="11"/>
  <c r="M93" i="11"/>
  <c r="H222" i="11"/>
  <c r="H206" i="11"/>
  <c r="M190" i="11"/>
  <c r="F190" i="11"/>
  <c r="G190" i="11" s="1"/>
  <c r="U190" i="11" s="1"/>
  <c r="M174" i="11"/>
  <c r="F174" i="11"/>
  <c r="G174" i="11" s="1"/>
  <c r="U174" i="11" s="1"/>
  <c r="F158" i="11"/>
  <c r="G158" i="11" s="1"/>
  <c r="U158" i="11" s="1"/>
  <c r="M158" i="11"/>
  <c r="M142" i="11"/>
  <c r="F142" i="11"/>
  <c r="G142" i="11" s="1"/>
  <c r="U142" i="11" s="1"/>
  <c r="M126" i="11"/>
  <c r="F126" i="11"/>
  <c r="G126" i="11" s="1"/>
  <c r="U126" i="11" s="1"/>
  <c r="M110" i="11"/>
  <c r="F110" i="11"/>
  <c r="G110" i="11" s="1"/>
  <c r="U110" i="11" s="1"/>
  <c r="F94" i="11"/>
  <c r="G94" i="11" s="1"/>
  <c r="U94" i="11" s="1"/>
  <c r="M94" i="11"/>
  <c r="F208" i="11"/>
  <c r="G208" i="11" s="1"/>
  <c r="U208" i="11" s="1"/>
  <c r="F155" i="11"/>
  <c r="G155" i="11" s="1"/>
  <c r="U155" i="11" s="1"/>
  <c r="F132" i="11"/>
  <c r="G132" i="11" s="1"/>
  <c r="U132" i="11" s="1"/>
  <c r="F122" i="11"/>
  <c r="G122" i="11" s="1"/>
  <c r="U122" i="11" s="1"/>
  <c r="F103" i="11"/>
  <c r="G103" i="11" s="1"/>
  <c r="U103" i="11" s="1"/>
  <c r="F75" i="11"/>
  <c r="G75" i="11" s="1"/>
  <c r="U75" i="11" s="1"/>
  <c r="M169" i="11"/>
  <c r="M137" i="11"/>
  <c r="M105" i="11"/>
  <c r="M73" i="11"/>
  <c r="H93" i="11"/>
  <c r="F63" i="11"/>
  <c r="G63" i="11" s="1"/>
  <c r="U63" i="11" s="1"/>
  <c r="F51" i="11"/>
  <c r="G51" i="11" s="1"/>
  <c r="U51" i="11" s="1"/>
  <c r="F25" i="11"/>
  <c r="G25" i="11" s="1"/>
  <c r="U25" i="11" s="1"/>
  <c r="F9" i="11"/>
  <c r="G9" i="11" s="1"/>
  <c r="U9" i="11" s="1"/>
  <c r="F212" i="11"/>
  <c r="G212" i="11" s="1"/>
  <c r="U212" i="11" s="1"/>
  <c r="F183" i="11"/>
  <c r="G183" i="11" s="1"/>
  <c r="U183" i="11" s="1"/>
  <c r="F160" i="11"/>
  <c r="G160" i="11" s="1"/>
  <c r="U160" i="11" s="1"/>
  <c r="F150" i="11"/>
  <c r="G150" i="11" s="1"/>
  <c r="U150" i="11" s="1"/>
  <c r="F117" i="11"/>
  <c r="G117" i="11" s="1"/>
  <c r="U117" i="11" s="1"/>
  <c r="F107" i="11"/>
  <c r="G107" i="11" s="1"/>
  <c r="U107" i="11" s="1"/>
  <c r="F79" i="11"/>
  <c r="G79" i="11" s="1"/>
  <c r="U79" i="11" s="1"/>
  <c r="F70" i="11"/>
  <c r="G70" i="11" s="1"/>
  <c r="U70" i="11" s="1"/>
  <c r="M221" i="11"/>
  <c r="M210" i="11"/>
  <c r="M205" i="11"/>
  <c r="M85" i="11"/>
  <c r="M15" i="11"/>
  <c r="H3" i="11"/>
  <c r="I3" i="11" s="1"/>
  <c r="M13" i="11"/>
  <c r="M4" i="11"/>
  <c r="M6" i="11"/>
  <c r="M55" i="11"/>
  <c r="M3" i="11"/>
  <c r="M2" i="11"/>
  <c r="M14" i="11"/>
  <c r="M47" i="11"/>
  <c r="M30" i="11"/>
  <c r="M39" i="11"/>
  <c r="M16" i="11"/>
  <c r="M31" i="11"/>
  <c r="M19" i="11"/>
  <c r="M33" i="11"/>
  <c r="M41" i="11"/>
  <c r="M49" i="11"/>
  <c r="M57" i="11"/>
  <c r="M65" i="11"/>
  <c r="M27" i="11"/>
  <c r="M35" i="11"/>
  <c r="M43" i="11"/>
  <c r="M51" i="11"/>
  <c r="M59" i="11"/>
  <c r="M38" i="11"/>
  <c r="M46" i="11"/>
  <c r="M54" i="11"/>
  <c r="M62" i="11"/>
  <c r="V121" i="11" l="1"/>
  <c r="V201" i="11"/>
  <c r="V141" i="11"/>
  <c r="V210" i="11"/>
  <c r="W210" i="11" s="1"/>
  <c r="V125" i="11"/>
  <c r="V15" i="11"/>
  <c r="W15" i="11" s="1"/>
  <c r="V105" i="11"/>
  <c r="V222" i="11"/>
  <c r="W222" i="11" s="1"/>
  <c r="V169" i="11"/>
  <c r="V39" i="11"/>
  <c r="W39" i="11" s="1"/>
  <c r="V153" i="11"/>
  <c r="V194" i="11"/>
  <c r="W194" i="11" s="1"/>
  <c r="V85" i="11"/>
  <c r="V205" i="11"/>
  <c r="V173" i="11"/>
  <c r="V16" i="11"/>
  <c r="W16" i="11" s="1"/>
  <c r="V221" i="11"/>
  <c r="V137" i="11"/>
  <c r="V158" i="11"/>
  <c r="W158" i="11" s="1"/>
  <c r="V238" i="11"/>
  <c r="W238" i="11" s="1"/>
  <c r="V73" i="11"/>
  <c r="V214" i="11"/>
  <c r="W214" i="11" s="1"/>
  <c r="V242" i="11"/>
  <c r="W242" i="11" s="1"/>
  <c r="V157" i="11"/>
  <c r="V69" i="11"/>
  <c r="V245" i="11"/>
  <c r="V246" i="11"/>
  <c r="W246" i="11" s="1"/>
  <c r="V34" i="11"/>
  <c r="W34" i="11" s="1"/>
  <c r="V247" i="11"/>
  <c r="W247" i="11" s="1"/>
  <c r="V96" i="11"/>
  <c r="V60" i="11"/>
  <c r="W60" i="11" s="1"/>
  <c r="V17" i="11"/>
  <c r="W17" i="11" s="1"/>
  <c r="V4" i="11"/>
  <c r="W4" i="11" s="1"/>
  <c r="V47" i="11"/>
  <c r="W47" i="11" s="1"/>
  <c r="V189" i="11"/>
  <c r="V89" i="11"/>
  <c r="V253" i="11"/>
  <c r="V77" i="11"/>
  <c r="V112" i="11"/>
  <c r="V164" i="11"/>
  <c r="V128" i="11"/>
  <c r="V199" i="11"/>
  <c r="W199" i="11" s="1"/>
  <c r="V180" i="11"/>
  <c r="V202" i="11"/>
  <c r="W202" i="11" s="1"/>
  <c r="V185" i="11"/>
  <c r="V230" i="11"/>
  <c r="W230" i="11" s="1"/>
  <c r="V215" i="11"/>
  <c r="W215" i="11" s="1"/>
  <c r="V154" i="11"/>
  <c r="W154" i="11" s="1"/>
  <c r="V203" i="11"/>
  <c r="W203" i="11" s="1"/>
  <c r="V212" i="11"/>
  <c r="P2" i="11"/>
  <c r="H189" i="11"/>
  <c r="H157" i="11"/>
  <c r="H54" i="11"/>
  <c r="H5" i="11"/>
  <c r="H77" i="11"/>
  <c r="H125" i="11"/>
  <c r="H29" i="11"/>
  <c r="H121" i="11"/>
  <c r="H7" i="11"/>
  <c r="H56" i="11"/>
  <c r="H141" i="11"/>
  <c r="H154" i="11"/>
  <c r="H209" i="11"/>
  <c r="H63" i="11"/>
  <c r="H32" i="11"/>
  <c r="H73" i="11"/>
  <c r="H173" i="11"/>
  <c r="V172" i="11"/>
  <c r="H221" i="11"/>
  <c r="H28" i="11"/>
  <c r="H85" i="11"/>
  <c r="H50" i="11"/>
  <c r="H42" i="11"/>
  <c r="H17" i="11"/>
  <c r="H44" i="11"/>
  <c r="H205" i="11"/>
  <c r="V204" i="11"/>
  <c r="H129" i="11"/>
  <c r="H97" i="11"/>
  <c r="H201" i="11"/>
  <c r="H23" i="11"/>
  <c r="H225" i="11"/>
  <c r="H34" i="11"/>
  <c r="H113" i="11"/>
  <c r="H245" i="11"/>
  <c r="V244" i="11"/>
  <c r="W244" i="11" s="1"/>
  <c r="H161" i="11"/>
  <c r="H48" i="11"/>
  <c r="H229" i="11"/>
  <c r="H165" i="11"/>
  <c r="H36" i="11"/>
  <c r="H58" i="11"/>
  <c r="H20" i="11"/>
  <c r="H89" i="11"/>
  <c r="V88" i="11"/>
  <c r="H153" i="11"/>
  <c r="H241" i="11"/>
  <c r="H237" i="11"/>
  <c r="V236" i="11"/>
  <c r="H40" i="11"/>
  <c r="H109" i="11"/>
  <c r="V109" i="11"/>
  <c r="V187" i="11"/>
  <c r="I4" i="11"/>
  <c r="H9" i="11"/>
  <c r="V53" i="11"/>
  <c r="V8" i="11"/>
  <c r="V197" i="11"/>
  <c r="W197" i="11" s="1"/>
  <c r="V129" i="11"/>
  <c r="H135" i="11"/>
  <c r="V21" i="11"/>
  <c r="H74" i="11"/>
  <c r="H198" i="11"/>
  <c r="H45" i="11"/>
  <c r="V14" i="11"/>
  <c r="W14" i="11" s="1"/>
  <c r="H25" i="11"/>
  <c r="H61" i="11"/>
  <c r="H197" i="11"/>
  <c r="H187" i="11"/>
  <c r="V135" i="11"/>
  <c r="V161" i="11"/>
  <c r="V145" i="11"/>
  <c r="V65" i="11"/>
  <c r="V237" i="11"/>
  <c r="H145" i="11"/>
  <c r="V93" i="11"/>
  <c r="V18" i="11"/>
  <c r="W18" i="11" s="1"/>
  <c r="V26" i="11"/>
  <c r="V97" i="11"/>
  <c r="H51" i="11"/>
  <c r="V25" i="11"/>
  <c r="V193" i="11"/>
  <c r="V209" i="11"/>
  <c r="V46" i="11"/>
  <c r="V54" i="11"/>
  <c r="W54" i="11" s="1"/>
  <c r="V232" i="11"/>
  <c r="V59" i="11"/>
  <c r="V234" i="11"/>
  <c r="V6" i="11"/>
  <c r="V241" i="11"/>
  <c r="V83" i="11"/>
  <c r="V41" i="11"/>
  <c r="V57" i="11"/>
  <c r="H52" i="11"/>
  <c r="H18" i="11"/>
  <c r="H21" i="11"/>
  <c r="H6" i="11"/>
  <c r="H10" i="11"/>
  <c r="V9" i="11"/>
  <c r="W9" i="11" s="1"/>
  <c r="H150" i="11"/>
  <c r="V150" i="11"/>
  <c r="H174" i="11"/>
  <c r="H243" i="11"/>
  <c r="V35" i="11"/>
  <c r="W35" i="11" s="1"/>
  <c r="H66" i="11"/>
  <c r="V33" i="11"/>
  <c r="V43" i="11"/>
  <c r="H212" i="11"/>
  <c r="H122" i="11"/>
  <c r="H142" i="11"/>
  <c r="V38" i="11"/>
  <c r="V19" i="11"/>
  <c r="W19" i="11" s="1"/>
  <c r="V61" i="11"/>
  <c r="W61" i="11" s="1"/>
  <c r="V27" i="11"/>
  <c r="W27" i="11" s="1"/>
  <c r="H70" i="11"/>
  <c r="H132" i="11"/>
  <c r="V132" i="11"/>
  <c r="H190" i="11"/>
  <c r="H151" i="11"/>
  <c r="V151" i="11"/>
  <c r="H26" i="11"/>
  <c r="H64" i="11"/>
  <c r="H207" i="11"/>
  <c r="H223" i="11"/>
  <c r="H80" i="11"/>
  <c r="V80" i="11"/>
  <c r="H120" i="11"/>
  <c r="V120" i="11"/>
  <c r="H200" i="11"/>
  <c r="V200" i="11"/>
  <c r="H119" i="11"/>
  <c r="V119" i="11"/>
  <c r="H251" i="11"/>
  <c r="H186" i="11"/>
  <c r="H106" i="11"/>
  <c r="H228" i="11"/>
  <c r="H37" i="11"/>
  <c r="H227" i="11"/>
  <c r="V227" i="11"/>
  <c r="H81" i="11"/>
  <c r="H38" i="11"/>
  <c r="H30" i="11"/>
  <c r="H19" i="11"/>
  <c r="H71" i="11"/>
  <c r="V71" i="11"/>
  <c r="H67" i="11"/>
  <c r="V67" i="11"/>
  <c r="H138" i="11"/>
  <c r="V138" i="11"/>
  <c r="W138" i="11" s="1"/>
  <c r="H82" i="11"/>
  <c r="H196" i="11"/>
  <c r="H98" i="11"/>
  <c r="H178" i="11"/>
  <c r="V178" i="11"/>
  <c r="H116" i="11"/>
  <c r="H236" i="11"/>
  <c r="H115" i="11"/>
  <c r="H179" i="11"/>
  <c r="H83" i="11"/>
  <c r="H233" i="11"/>
  <c r="H68" i="11"/>
  <c r="V68" i="11"/>
  <c r="V250" i="11"/>
  <c r="V165" i="11"/>
  <c r="V133" i="11"/>
  <c r="H155" i="11"/>
  <c r="V155" i="11"/>
  <c r="W155" i="11" s="1"/>
  <c r="H170" i="11"/>
  <c r="V30" i="11"/>
  <c r="H107" i="11"/>
  <c r="V107" i="11"/>
  <c r="V206" i="11"/>
  <c r="W206" i="11" s="1"/>
  <c r="H159" i="11"/>
  <c r="H90" i="11"/>
  <c r="H247" i="11"/>
  <c r="H168" i="11"/>
  <c r="V168" i="11"/>
  <c r="H148" i="11"/>
  <c r="H11" i="11"/>
  <c r="H91" i="11"/>
  <c r="V91" i="11"/>
  <c r="H219" i="11"/>
  <c r="H146" i="11"/>
  <c r="V146" i="11"/>
  <c r="W146" i="11" s="1"/>
  <c r="H156" i="11"/>
  <c r="V156" i="11"/>
  <c r="H139" i="11"/>
  <c r="V139" i="11"/>
  <c r="H252" i="11"/>
  <c r="V252" i="11"/>
  <c r="V102" i="11"/>
  <c r="H249" i="11"/>
  <c r="V249" i="11"/>
  <c r="H108" i="11"/>
  <c r="V108" i="11"/>
  <c r="H250" i="11"/>
  <c r="H169" i="11"/>
  <c r="H65" i="11"/>
  <c r="H133" i="11"/>
  <c r="H126" i="11"/>
  <c r="H75" i="11"/>
  <c r="V75" i="11"/>
  <c r="W75" i="11" s="1"/>
  <c r="H79" i="11"/>
  <c r="V79" i="11"/>
  <c r="H110" i="11"/>
  <c r="H239" i="11"/>
  <c r="V49" i="11"/>
  <c r="H208" i="11"/>
  <c r="H180" i="11"/>
  <c r="H95" i="11"/>
  <c r="V31" i="11"/>
  <c r="W31" i="11" s="1"/>
  <c r="V13" i="11"/>
  <c r="V22" i="11"/>
  <c r="W22" i="11" s="1"/>
  <c r="H117" i="11"/>
  <c r="V117" i="11"/>
  <c r="H158" i="11"/>
  <c r="V217" i="11"/>
  <c r="H203" i="11"/>
  <c r="H100" i="11"/>
  <c r="V100" i="11"/>
  <c r="H88" i="11"/>
  <c r="H216" i="11"/>
  <c r="V216" i="11"/>
  <c r="H171" i="11"/>
  <c r="V171" i="11"/>
  <c r="H101" i="11"/>
  <c r="V101" i="11"/>
  <c r="H240" i="11"/>
  <c r="V240" i="11"/>
  <c r="H194" i="11"/>
  <c r="H149" i="11"/>
  <c r="V149" i="11"/>
  <c r="H8" i="11"/>
  <c r="H53" i="11"/>
  <c r="H131" i="11"/>
  <c r="H195" i="11"/>
  <c r="V51" i="11"/>
  <c r="H102" i="11"/>
  <c r="H76" i="11"/>
  <c r="V76" i="11"/>
  <c r="H204" i="11"/>
  <c r="H217" i="11"/>
  <c r="H46" i="11"/>
  <c r="H49" i="11"/>
  <c r="V218" i="11"/>
  <c r="W218" i="11" s="1"/>
  <c r="V229" i="11"/>
  <c r="V213" i="11"/>
  <c r="H111" i="11"/>
  <c r="H175" i="11"/>
  <c r="H123" i="11"/>
  <c r="V123" i="11"/>
  <c r="H136" i="11"/>
  <c r="V136" i="11"/>
  <c r="W136" i="11" s="1"/>
  <c r="H184" i="11"/>
  <c r="V184" i="11"/>
  <c r="H181" i="11"/>
  <c r="V181" i="11"/>
  <c r="H134" i="11"/>
  <c r="H248" i="11"/>
  <c r="V248" i="11"/>
  <c r="H182" i="11"/>
  <c r="V182" i="11"/>
  <c r="H147" i="11"/>
  <c r="H112" i="11"/>
  <c r="H164" i="11"/>
  <c r="H12" i="11"/>
  <c r="V225" i="11"/>
  <c r="H22" i="11"/>
  <c r="H137" i="11"/>
  <c r="H185" i="11"/>
  <c r="H33" i="11"/>
  <c r="H69" i="11"/>
  <c r="H213" i="11"/>
  <c r="H166" i="11"/>
  <c r="H231" i="11"/>
  <c r="V231" i="11"/>
  <c r="W231" i="11" s="1"/>
  <c r="H59" i="11"/>
  <c r="H172" i="11"/>
  <c r="H144" i="11"/>
  <c r="V144" i="11"/>
  <c r="H114" i="11"/>
  <c r="H162" i="11"/>
  <c r="H220" i="11"/>
  <c r="V220" i="11"/>
  <c r="H192" i="11"/>
  <c r="H211" i="11"/>
  <c r="H188" i="11"/>
  <c r="V188" i="11"/>
  <c r="W188" i="11" s="1"/>
  <c r="W254" i="11"/>
  <c r="H84" i="11"/>
  <c r="V84" i="11"/>
  <c r="W84" i="11" s="1"/>
  <c r="H124" i="11"/>
  <c r="V124" i="11"/>
  <c r="H43" i="11"/>
  <c r="H13" i="11"/>
  <c r="H160" i="11"/>
  <c r="H191" i="11"/>
  <c r="H103" i="11"/>
  <c r="V103" i="11"/>
  <c r="W103" i="11" s="1"/>
  <c r="H118" i="11"/>
  <c r="V118" i="11"/>
  <c r="V81" i="11"/>
  <c r="W81" i="11" s="1"/>
  <c r="H176" i="11"/>
  <c r="H104" i="11"/>
  <c r="V104" i="11"/>
  <c r="H232" i="11"/>
  <c r="H86" i="11"/>
  <c r="H235" i="11"/>
  <c r="H167" i="11"/>
  <c r="V167" i="11"/>
  <c r="V74" i="11"/>
  <c r="W74" i="11" s="1"/>
  <c r="H78" i="11"/>
  <c r="V78" i="11"/>
  <c r="W78" i="11" s="1"/>
  <c r="H215" i="11"/>
  <c r="H24" i="11"/>
  <c r="H99" i="11"/>
  <c r="H163" i="11"/>
  <c r="V198" i="11"/>
  <c r="W198" i="11" s="1"/>
  <c r="H57" i="11"/>
  <c r="H105" i="11"/>
  <c r="H193" i="11"/>
  <c r="H234" i="11"/>
  <c r="H35" i="11"/>
  <c r="H253" i="11"/>
  <c r="H226" i="11"/>
  <c r="H127" i="11"/>
  <c r="V55" i="11"/>
  <c r="W55" i="11" s="1"/>
  <c r="H183" i="11"/>
  <c r="V183" i="11"/>
  <c r="V45" i="11"/>
  <c r="V62" i="11"/>
  <c r="V29" i="11"/>
  <c r="H94" i="11"/>
  <c r="H128" i="11"/>
  <c r="H143" i="11"/>
  <c r="H199" i="11"/>
  <c r="H72" i="11"/>
  <c r="V72" i="11"/>
  <c r="H152" i="11"/>
  <c r="V152" i="11"/>
  <c r="H96" i="11"/>
  <c r="H244" i="11"/>
  <c r="H177" i="11"/>
  <c r="V177" i="11"/>
  <c r="H130" i="11"/>
  <c r="V130" i="11"/>
  <c r="W130" i="11" s="1"/>
  <c r="H87" i="11"/>
  <c r="V87" i="11"/>
  <c r="H224" i="11"/>
  <c r="V224" i="11"/>
  <c r="H60" i="11"/>
  <c r="H92" i="11"/>
  <c r="V92" i="11"/>
  <c r="W92" i="11" s="1"/>
  <c r="H140" i="11"/>
  <c r="V140" i="11"/>
  <c r="H41" i="11"/>
  <c r="V113" i="11"/>
  <c r="W113" i="11" s="1"/>
  <c r="H62" i="11"/>
  <c r="H27" i="11"/>
  <c r="V37" i="11"/>
  <c r="V12" i="11"/>
  <c r="V64" i="11"/>
  <c r="V11" i="11"/>
  <c r="V24" i="11"/>
  <c r="V10" i="11"/>
  <c r="W10" i="11" s="1"/>
  <c r="P3" i="11" l="1"/>
  <c r="P4" i="11" s="1"/>
  <c r="P5" i="11" s="1"/>
  <c r="P6" i="11" s="1"/>
  <c r="P7" i="11" s="1"/>
  <c r="P8" i="11" s="1"/>
  <c r="P9" i="11" s="1"/>
  <c r="P10" i="11" s="1"/>
  <c r="P11" i="11" s="1"/>
  <c r="P12" i="11" s="1"/>
  <c r="P13" i="11" s="1"/>
  <c r="P14" i="11" s="1"/>
  <c r="P15" i="11" s="1"/>
  <c r="P16" i="11" s="1"/>
  <c r="P17" i="11" s="1"/>
  <c r="P18" i="11" s="1"/>
  <c r="P19" i="11" s="1"/>
  <c r="P20" i="11" s="1"/>
  <c r="P21" i="11" s="1"/>
  <c r="P22" i="11" s="1"/>
  <c r="P23" i="11" s="1"/>
  <c r="P24" i="11" s="1"/>
  <c r="P25" i="11" s="1"/>
  <c r="P26" i="11" s="1"/>
  <c r="P27" i="11" s="1"/>
  <c r="P28" i="11" s="1"/>
  <c r="P29" i="11" s="1"/>
  <c r="P30" i="11" s="1"/>
  <c r="P31" i="11" s="1"/>
  <c r="P32" i="11" s="1"/>
  <c r="P33" i="11" s="1"/>
  <c r="P34" i="11" s="1"/>
  <c r="P35" i="11" s="1"/>
  <c r="P36" i="11" s="1"/>
  <c r="P37" i="11" s="1"/>
  <c r="P38" i="11" s="1"/>
  <c r="P39" i="11" s="1"/>
  <c r="P40" i="11" s="1"/>
  <c r="P41" i="11" s="1"/>
  <c r="P42" i="11" s="1"/>
  <c r="P43" i="11" s="1"/>
  <c r="P44" i="11" s="1"/>
  <c r="P45" i="11" s="1"/>
  <c r="P46" i="11" s="1"/>
  <c r="P47" i="11" s="1"/>
  <c r="P48" i="11" s="1"/>
  <c r="P49" i="11" s="1"/>
  <c r="P50" i="11" s="1"/>
  <c r="P51" i="11" s="1"/>
  <c r="P52" i="11" s="1"/>
  <c r="P53" i="11" s="1"/>
  <c r="P54" i="11" s="1"/>
  <c r="P55" i="11" s="1"/>
  <c r="P56" i="11" s="1"/>
  <c r="P57" i="11" s="1"/>
  <c r="P58" i="11" s="1"/>
  <c r="P59" i="11" s="1"/>
  <c r="P60" i="11" s="1"/>
  <c r="P61" i="11" s="1"/>
  <c r="P62" i="11" s="1"/>
  <c r="P63" i="11" s="1"/>
  <c r="P64" i="11" s="1"/>
  <c r="P65" i="11" s="1"/>
  <c r="P66" i="11" s="1"/>
  <c r="P67" i="11" s="1"/>
  <c r="P68" i="11" s="1"/>
  <c r="P69" i="11" s="1"/>
  <c r="P70" i="11" s="1"/>
  <c r="P71" i="11" s="1"/>
  <c r="P72" i="11" s="1"/>
  <c r="P73" i="11" s="1"/>
  <c r="P74" i="11" s="1"/>
  <c r="P75" i="11" s="1"/>
  <c r="P76" i="11" s="1"/>
  <c r="P77" i="11" s="1"/>
  <c r="P78" i="11" s="1"/>
  <c r="P79" i="11" s="1"/>
  <c r="P80" i="11" s="1"/>
  <c r="P81" i="11" s="1"/>
  <c r="P82" i="11" s="1"/>
  <c r="P83" i="11" s="1"/>
  <c r="P84" i="11" s="1"/>
  <c r="P85" i="11" s="1"/>
  <c r="P86" i="11" s="1"/>
  <c r="P87" i="11" s="1"/>
  <c r="P88" i="11" s="1"/>
  <c r="P89" i="11" s="1"/>
  <c r="P90" i="11" s="1"/>
  <c r="P91" i="11" s="1"/>
  <c r="P92" i="11" s="1"/>
  <c r="P93" i="11" s="1"/>
  <c r="P94" i="11" s="1"/>
  <c r="P95" i="11" s="1"/>
  <c r="P96" i="11" s="1"/>
  <c r="P97" i="11" s="1"/>
  <c r="P98" i="11" s="1"/>
  <c r="P99" i="11" s="1"/>
  <c r="P100" i="11" s="1"/>
  <c r="P101" i="11" s="1"/>
  <c r="P102" i="11" s="1"/>
  <c r="P103" i="11" s="1"/>
  <c r="P104" i="11" s="1"/>
  <c r="P105" i="11" s="1"/>
  <c r="P106" i="11" s="1"/>
  <c r="P107" i="11" s="1"/>
  <c r="P108" i="11" s="1"/>
  <c r="P109" i="11" s="1"/>
  <c r="P110" i="11" s="1"/>
  <c r="P111" i="11" s="1"/>
  <c r="P112" i="11" s="1"/>
  <c r="P113" i="11" s="1"/>
  <c r="P114" i="11" s="1"/>
  <c r="P115" i="11" s="1"/>
  <c r="P116" i="11" s="1"/>
  <c r="P117" i="11" s="1"/>
  <c r="P118" i="11" s="1"/>
  <c r="P119" i="11" s="1"/>
  <c r="P120" i="11" s="1"/>
  <c r="P121" i="11" s="1"/>
  <c r="P122" i="11" s="1"/>
  <c r="P123" i="11" s="1"/>
  <c r="P124" i="11" s="1"/>
  <c r="P125" i="11" s="1"/>
  <c r="P126" i="11" s="1"/>
  <c r="P127" i="11" s="1"/>
  <c r="P128" i="11" s="1"/>
  <c r="P129" i="11" s="1"/>
  <c r="P130" i="11" s="1"/>
  <c r="P131" i="11" s="1"/>
  <c r="P132" i="11" s="1"/>
  <c r="P133" i="11" s="1"/>
  <c r="P134" i="11" s="1"/>
  <c r="P135" i="11" s="1"/>
  <c r="P136" i="11" s="1"/>
  <c r="P137" i="11" s="1"/>
  <c r="P138" i="11" s="1"/>
  <c r="P139" i="11" s="1"/>
  <c r="P140" i="11" s="1"/>
  <c r="P141" i="11" s="1"/>
  <c r="P142" i="11" s="1"/>
  <c r="P143" i="11" s="1"/>
  <c r="P144" i="11" s="1"/>
  <c r="P145" i="11" s="1"/>
  <c r="P146" i="11" s="1"/>
  <c r="P147" i="11" s="1"/>
  <c r="P148" i="11" s="1"/>
  <c r="P149" i="11" s="1"/>
  <c r="P150" i="11" s="1"/>
  <c r="P151" i="11" s="1"/>
  <c r="P152" i="11" s="1"/>
  <c r="P153" i="11" s="1"/>
  <c r="P154" i="11" s="1"/>
  <c r="P155" i="11" s="1"/>
  <c r="P156" i="11" s="1"/>
  <c r="P157" i="11" s="1"/>
  <c r="P158" i="11" s="1"/>
  <c r="P159" i="11" s="1"/>
  <c r="P160" i="11" s="1"/>
  <c r="P161" i="11" s="1"/>
  <c r="P162" i="11" s="1"/>
  <c r="P163" i="11" s="1"/>
  <c r="P164" i="11" s="1"/>
  <c r="P165" i="11" s="1"/>
  <c r="P166" i="11" s="1"/>
  <c r="P167" i="11" s="1"/>
  <c r="P168" i="11" s="1"/>
  <c r="P169" i="11" s="1"/>
  <c r="P170" i="11" s="1"/>
  <c r="P171" i="11" s="1"/>
  <c r="P172" i="11" s="1"/>
  <c r="P173" i="11" s="1"/>
  <c r="P174" i="11" s="1"/>
  <c r="P175" i="11" s="1"/>
  <c r="P176" i="11" s="1"/>
  <c r="P177" i="11" s="1"/>
  <c r="P178" i="11" s="1"/>
  <c r="P179" i="11" s="1"/>
  <c r="P180" i="11" s="1"/>
  <c r="P181" i="11" s="1"/>
  <c r="P182" i="11" s="1"/>
  <c r="P183" i="11" s="1"/>
  <c r="P184" i="11" s="1"/>
  <c r="P185" i="11" s="1"/>
  <c r="P186" i="11" s="1"/>
  <c r="P187" i="11" s="1"/>
  <c r="P188" i="11" s="1"/>
  <c r="P189" i="11" s="1"/>
  <c r="P190" i="11" s="1"/>
  <c r="P191" i="11" s="1"/>
  <c r="P192" i="11" s="1"/>
  <c r="P193" i="11" s="1"/>
  <c r="P194" i="11" s="1"/>
  <c r="P195" i="11" s="1"/>
  <c r="P196" i="11" s="1"/>
  <c r="P197" i="11" s="1"/>
  <c r="P198" i="11" s="1"/>
  <c r="P199" i="11" s="1"/>
  <c r="P200" i="11" s="1"/>
  <c r="P201" i="11" s="1"/>
  <c r="P202" i="11" s="1"/>
  <c r="P203" i="11" s="1"/>
  <c r="P204" i="11" s="1"/>
  <c r="P205" i="11" s="1"/>
  <c r="P206" i="11" s="1"/>
  <c r="P207" i="11" s="1"/>
  <c r="P208" i="11" s="1"/>
  <c r="P209" i="11" s="1"/>
  <c r="P210" i="11" s="1"/>
  <c r="P211" i="11" s="1"/>
  <c r="P212" i="11" s="1"/>
  <c r="P213" i="11" s="1"/>
  <c r="P214" i="11" s="1"/>
  <c r="P215" i="11" s="1"/>
  <c r="P216" i="11" s="1"/>
  <c r="P217" i="11" s="1"/>
  <c r="P218" i="11" s="1"/>
  <c r="P219" i="11" s="1"/>
  <c r="P220" i="11" s="1"/>
  <c r="P221" i="11" s="1"/>
  <c r="P222" i="11" s="1"/>
  <c r="P223" i="11" s="1"/>
  <c r="P224" i="11" s="1"/>
  <c r="P225" i="11" s="1"/>
  <c r="P226" i="11" s="1"/>
  <c r="P227" i="11" s="1"/>
  <c r="P228" i="11" s="1"/>
  <c r="P229" i="11" s="1"/>
  <c r="P230" i="11" s="1"/>
  <c r="P231" i="11" s="1"/>
  <c r="P232" i="11" s="1"/>
  <c r="P233" i="11" s="1"/>
  <c r="P234" i="11" s="1"/>
  <c r="P235" i="11" s="1"/>
  <c r="P236" i="11" s="1"/>
  <c r="P237" i="11" s="1"/>
  <c r="P238" i="11" s="1"/>
  <c r="P239" i="11" s="1"/>
  <c r="P240" i="11" s="1"/>
  <c r="P241" i="11" s="1"/>
  <c r="P242" i="11" s="1"/>
  <c r="P243" i="11" s="1"/>
  <c r="P244" i="11" s="1"/>
  <c r="P245" i="11" s="1"/>
  <c r="P246" i="11" s="1"/>
  <c r="P247" i="11" s="1"/>
  <c r="P248" i="11" s="1"/>
  <c r="P249" i="11" s="1"/>
  <c r="P250" i="11" s="1"/>
  <c r="P251" i="11" s="1"/>
  <c r="P252" i="11" s="1"/>
  <c r="P253" i="11" s="1"/>
  <c r="P254" i="11" s="1"/>
  <c r="I5" i="11"/>
  <c r="I6" i="11" s="1"/>
  <c r="I7" i="11" s="1"/>
  <c r="I8" i="11" s="1"/>
  <c r="I9" i="11" s="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I22" i="11" s="1"/>
  <c r="I23" i="11" s="1"/>
  <c r="I24" i="11" s="1"/>
  <c r="I25" i="11" s="1"/>
  <c r="I26" i="11" s="1"/>
  <c r="I27" i="11" s="1"/>
  <c r="I28" i="11" s="1"/>
  <c r="I29" i="11" s="1"/>
  <c r="I30" i="11" s="1"/>
  <c r="I31" i="11" s="1"/>
  <c r="I32" i="11" s="1"/>
  <c r="I33" i="11" s="1"/>
  <c r="I34" i="11" s="1"/>
  <c r="I35" i="11" s="1"/>
  <c r="I36" i="11" s="1"/>
  <c r="I37" i="11" s="1"/>
  <c r="I38" i="11" s="1"/>
  <c r="I39" i="11" s="1"/>
  <c r="I40" i="11" s="1"/>
  <c r="I41" i="11" s="1"/>
  <c r="I42" i="11" s="1"/>
  <c r="I43" i="11" s="1"/>
  <c r="I44" i="11" s="1"/>
  <c r="I45" i="11" s="1"/>
  <c r="I46" i="11" s="1"/>
  <c r="I47" i="11" s="1"/>
  <c r="I48" i="11" s="1"/>
  <c r="I49" i="11" s="1"/>
  <c r="I50" i="11" s="1"/>
  <c r="I51" i="11" s="1"/>
  <c r="I52" i="11" s="1"/>
  <c r="I53" i="11" s="1"/>
  <c r="I54" i="11" s="1"/>
  <c r="I55" i="11" s="1"/>
  <c r="I56" i="11" s="1"/>
  <c r="I57" i="11" s="1"/>
  <c r="I58" i="11" s="1"/>
  <c r="I59" i="11" s="1"/>
  <c r="I60" i="11" s="1"/>
  <c r="I61" i="11" s="1"/>
  <c r="I62" i="11" s="1"/>
  <c r="I63" i="11" s="1"/>
  <c r="I64" i="11" s="1"/>
  <c r="I65" i="11" s="1"/>
  <c r="I66" i="11" s="1"/>
  <c r="I67" i="11" s="1"/>
  <c r="I68" i="11" s="1"/>
  <c r="I69" i="11" s="1"/>
  <c r="I70" i="11" s="1"/>
  <c r="I71" i="11" s="1"/>
  <c r="I72" i="11" s="1"/>
  <c r="I73" i="11" s="1"/>
  <c r="I74" i="11" s="1"/>
  <c r="I75" i="11" s="1"/>
  <c r="I76" i="11" s="1"/>
  <c r="I77" i="11" s="1"/>
  <c r="I78" i="11" s="1"/>
  <c r="I79" i="11" s="1"/>
  <c r="I80" i="11" s="1"/>
  <c r="I81" i="11" s="1"/>
  <c r="I82" i="11" s="1"/>
  <c r="I83" i="11" s="1"/>
  <c r="I84" i="11" s="1"/>
  <c r="I85" i="11" s="1"/>
  <c r="I86" i="11" s="1"/>
  <c r="I87" i="11" s="1"/>
  <c r="I88" i="11" s="1"/>
  <c r="I89" i="11" s="1"/>
  <c r="I90" i="11" s="1"/>
  <c r="I91" i="11" s="1"/>
  <c r="I92" i="11" s="1"/>
  <c r="I93" i="11" s="1"/>
  <c r="I94" i="11" s="1"/>
  <c r="I95" i="11" s="1"/>
  <c r="I96" i="11" s="1"/>
  <c r="I97" i="11" s="1"/>
  <c r="I98" i="11" s="1"/>
  <c r="I99" i="11" s="1"/>
  <c r="I100" i="11" s="1"/>
  <c r="I101" i="11" s="1"/>
  <c r="I102" i="11" s="1"/>
  <c r="I103" i="11" s="1"/>
  <c r="I104" i="11" s="1"/>
  <c r="I105" i="11" s="1"/>
  <c r="I106" i="11" s="1"/>
  <c r="I107" i="11" s="1"/>
  <c r="I108" i="11" s="1"/>
  <c r="I109" i="11" s="1"/>
  <c r="I110" i="11" s="1"/>
  <c r="I111" i="11" s="1"/>
  <c r="I112" i="11" s="1"/>
  <c r="I113" i="11" s="1"/>
  <c r="I114" i="11" s="1"/>
  <c r="I115" i="11" s="1"/>
  <c r="I116" i="11" s="1"/>
  <c r="I117" i="11" s="1"/>
  <c r="I118" i="11" s="1"/>
  <c r="I119" i="11" s="1"/>
  <c r="I120" i="11" s="1"/>
  <c r="I121" i="11" s="1"/>
  <c r="I122" i="11" s="1"/>
  <c r="I123" i="11" s="1"/>
  <c r="I124" i="11" s="1"/>
  <c r="I125" i="11" s="1"/>
  <c r="I126" i="11" s="1"/>
  <c r="I127" i="11" s="1"/>
  <c r="I128" i="11" s="1"/>
  <c r="I129" i="11" s="1"/>
  <c r="I130" i="11" s="1"/>
  <c r="I131" i="11" s="1"/>
  <c r="I132" i="11" s="1"/>
  <c r="I133" i="11" s="1"/>
  <c r="I134" i="11" s="1"/>
  <c r="I135" i="11" s="1"/>
  <c r="I136" i="11" s="1"/>
  <c r="I137" i="11" s="1"/>
  <c r="I138" i="11" s="1"/>
  <c r="I139" i="11" s="1"/>
  <c r="I140" i="11" s="1"/>
  <c r="I141" i="11" s="1"/>
  <c r="I142" i="11" s="1"/>
  <c r="I143" i="11" s="1"/>
  <c r="I144" i="11" s="1"/>
  <c r="I145" i="11" s="1"/>
  <c r="I146" i="11" s="1"/>
  <c r="I147" i="11" s="1"/>
  <c r="I148" i="11" s="1"/>
  <c r="I149" i="11" s="1"/>
  <c r="I150" i="11" s="1"/>
  <c r="I151" i="11" s="1"/>
  <c r="I152" i="11" s="1"/>
  <c r="I153" i="11" s="1"/>
  <c r="I154" i="11" s="1"/>
  <c r="I155" i="11" s="1"/>
  <c r="I156" i="11" s="1"/>
  <c r="I157" i="11" s="1"/>
  <c r="I158" i="11" s="1"/>
  <c r="I159" i="11" s="1"/>
  <c r="I160" i="11" s="1"/>
  <c r="I161" i="11" s="1"/>
  <c r="I162" i="11" s="1"/>
  <c r="I163" i="11" s="1"/>
  <c r="I164" i="11" s="1"/>
  <c r="I165" i="11" s="1"/>
  <c r="I166" i="11" s="1"/>
  <c r="I167" i="11" s="1"/>
  <c r="I168" i="11" s="1"/>
  <c r="I169" i="11" s="1"/>
  <c r="I170" i="11" s="1"/>
  <c r="I171" i="11" s="1"/>
  <c r="I172" i="11" s="1"/>
  <c r="I173" i="11" s="1"/>
  <c r="I174" i="11" s="1"/>
  <c r="I175" i="11" s="1"/>
  <c r="I176" i="11" s="1"/>
  <c r="I177" i="11" s="1"/>
  <c r="I178" i="11" s="1"/>
  <c r="I179" i="11" s="1"/>
  <c r="I180" i="11" s="1"/>
  <c r="I181" i="11" s="1"/>
  <c r="I182" i="11" s="1"/>
  <c r="I183" i="11" s="1"/>
  <c r="I184" i="11" s="1"/>
  <c r="I185" i="11" s="1"/>
  <c r="I186" i="11" s="1"/>
  <c r="I187" i="11" s="1"/>
  <c r="I188" i="11" s="1"/>
  <c r="I189" i="11" s="1"/>
  <c r="I190" i="11" s="1"/>
  <c r="I191" i="11" s="1"/>
  <c r="I192" i="11" s="1"/>
  <c r="I193" i="11" s="1"/>
  <c r="I194" i="11" s="1"/>
  <c r="I195" i="11" s="1"/>
  <c r="I196" i="11" s="1"/>
  <c r="I197" i="11" s="1"/>
  <c r="I198" i="11" s="1"/>
  <c r="I199" i="11" s="1"/>
  <c r="I200" i="11" s="1"/>
  <c r="I201" i="11" s="1"/>
  <c r="I202" i="11" s="1"/>
  <c r="I203" i="11" s="1"/>
  <c r="I204" i="11" s="1"/>
  <c r="I205" i="11" s="1"/>
  <c r="I206" i="11" s="1"/>
  <c r="I207" i="11" s="1"/>
  <c r="I208" i="11" s="1"/>
  <c r="I209" i="11" s="1"/>
  <c r="I210" i="11" s="1"/>
  <c r="I211" i="11" s="1"/>
  <c r="I212" i="11" s="1"/>
  <c r="I213" i="11" s="1"/>
  <c r="I214" i="11" s="1"/>
  <c r="I215" i="11" s="1"/>
  <c r="I216" i="11" s="1"/>
  <c r="I217" i="11" s="1"/>
  <c r="I218" i="11" s="1"/>
  <c r="I219" i="11" s="1"/>
  <c r="I220" i="11" s="1"/>
  <c r="I221" i="11" s="1"/>
  <c r="I222" i="11" s="1"/>
  <c r="I223" i="11" s="1"/>
  <c r="I224" i="11" s="1"/>
  <c r="I225" i="11" s="1"/>
  <c r="I226" i="11" s="1"/>
  <c r="I227" i="11" s="1"/>
  <c r="I228" i="11" s="1"/>
  <c r="I229" i="11" s="1"/>
  <c r="I230" i="11" s="1"/>
  <c r="I231" i="11" s="1"/>
  <c r="I232" i="11" s="1"/>
  <c r="I233" i="11" s="1"/>
  <c r="I234" i="11" s="1"/>
  <c r="I235" i="11" s="1"/>
  <c r="I236" i="11" s="1"/>
  <c r="I237" i="11" s="1"/>
  <c r="I238" i="11" s="1"/>
  <c r="I239" i="11" s="1"/>
  <c r="I240" i="11" s="1"/>
  <c r="I241" i="11" s="1"/>
  <c r="I242" i="11" s="1"/>
  <c r="I243" i="11" s="1"/>
  <c r="I244" i="11" s="1"/>
  <c r="I245" i="11" s="1"/>
  <c r="I246" i="11" s="1"/>
  <c r="I247" i="11" s="1"/>
  <c r="I248" i="11" s="1"/>
  <c r="I249" i="11" s="1"/>
  <c r="I250" i="11" s="1"/>
  <c r="I251" i="11" s="1"/>
  <c r="I252" i="11" s="1"/>
  <c r="I253" i="11" s="1"/>
  <c r="I254" i="11" s="1"/>
  <c r="V98" i="11"/>
  <c r="W98" i="11" s="1"/>
  <c r="V63" i="11"/>
  <c r="W63" i="11" s="1"/>
  <c r="V134" i="11"/>
  <c r="W134" i="11" s="1"/>
  <c r="V70" i="11"/>
  <c r="W70" i="11" s="1"/>
  <c r="V5" i="11"/>
  <c r="W5" i="11" s="1"/>
  <c r="W37" i="11"/>
  <c r="V50" i="11"/>
  <c r="W50" i="11" s="1"/>
  <c r="W53" i="11"/>
  <c r="W51" i="11"/>
  <c r="V162" i="11"/>
  <c r="W162" i="11" s="1"/>
  <c r="V147" i="11"/>
  <c r="W147" i="11" s="1"/>
  <c r="V142" i="11"/>
  <c r="W142" i="11" s="1"/>
  <c r="W156" i="11"/>
  <c r="W112" i="11"/>
  <c r="V190" i="11"/>
  <c r="W190" i="11" s="1"/>
  <c r="V23" i="11"/>
  <c r="W23" i="11" s="1"/>
  <c r="W91" i="11"/>
  <c r="W234" i="11"/>
  <c r="W135" i="11"/>
  <c r="W96" i="11"/>
  <c r="V174" i="11"/>
  <c r="W174" i="11" s="1"/>
  <c r="W77" i="11"/>
  <c r="W252" i="11"/>
  <c r="V159" i="11"/>
  <c r="W159" i="11" s="1"/>
  <c r="V176" i="11"/>
  <c r="W176" i="11" s="1"/>
  <c r="W164" i="11"/>
  <c r="W149" i="11"/>
  <c r="W73" i="11"/>
  <c r="V40" i="11"/>
  <c r="W40" i="11" s="1"/>
  <c r="V56" i="11"/>
  <c r="W56" i="11" s="1"/>
  <c r="V160" i="11"/>
  <c r="W160" i="11" s="1"/>
  <c r="V114" i="11"/>
  <c r="W114" i="11" s="1"/>
  <c r="W180" i="11"/>
  <c r="V110" i="11"/>
  <c r="W110" i="11" s="1"/>
  <c r="W87" i="11"/>
  <c r="W152" i="11"/>
  <c r="W193" i="11"/>
  <c r="W253" i="11"/>
  <c r="V235" i="11"/>
  <c r="W235" i="11" s="1"/>
  <c r="W124" i="11"/>
  <c r="V207" i="11"/>
  <c r="W207" i="11" s="1"/>
  <c r="V131" i="11"/>
  <c r="W131" i="11" s="1"/>
  <c r="W62" i="11"/>
  <c r="W80" i="11"/>
  <c r="V94" i="11"/>
  <c r="W94" i="11" s="1"/>
  <c r="V32" i="11"/>
  <c r="W32" i="11" s="1"/>
  <c r="V195" i="11"/>
  <c r="W195" i="11" s="1"/>
  <c r="V66" i="11"/>
  <c r="W66" i="11" s="1"/>
  <c r="V44" i="11"/>
  <c r="W44" i="11" s="1"/>
  <c r="W248" i="11"/>
  <c r="W101" i="11"/>
  <c r="W108" i="11"/>
  <c r="W132" i="11"/>
  <c r="W69" i="11"/>
  <c r="W204" i="11"/>
  <c r="W185" i="11"/>
  <c r="W157" i="11"/>
  <c r="W26" i="11"/>
  <c r="W171" i="11"/>
  <c r="W217" i="11"/>
  <c r="W24" i="11"/>
  <c r="W167" i="11"/>
  <c r="V95" i="11"/>
  <c r="W95" i="11" s="1"/>
  <c r="V126" i="11"/>
  <c r="W126" i="11" s="1"/>
  <c r="V106" i="11"/>
  <c r="W106" i="11" s="1"/>
  <c r="V208" i="11"/>
  <c r="W208" i="11" s="1"/>
  <c r="V115" i="11"/>
  <c r="W115" i="11" s="1"/>
  <c r="V58" i="11"/>
  <c r="W58" i="11" s="1"/>
  <c r="V219" i="11"/>
  <c r="W219" i="11" s="1"/>
  <c r="V170" i="11"/>
  <c r="W170" i="11" s="1"/>
  <c r="V191" i="11"/>
  <c r="W191" i="11" s="1"/>
  <c r="V116" i="11"/>
  <c r="W116" i="11" s="1"/>
  <c r="V166" i="11"/>
  <c r="W166" i="11" s="1"/>
  <c r="V82" i="11"/>
  <c r="W82" i="11" s="1"/>
  <c r="V7" i="11"/>
  <c r="W7" i="11" s="1"/>
  <c r="V175" i="11"/>
  <c r="W175" i="11" s="1"/>
  <c r="V228" i="11"/>
  <c r="W228" i="11" s="1"/>
  <c r="V251" i="11"/>
  <c r="W251" i="11" s="1"/>
  <c r="W43" i="11"/>
  <c r="W30" i="11"/>
  <c r="W128" i="11"/>
  <c r="W236" i="11"/>
  <c r="W72" i="11"/>
  <c r="W181" i="11"/>
  <c r="W100" i="11"/>
  <c r="W189" i="11"/>
  <c r="W118" i="11"/>
  <c r="W225" i="11"/>
  <c r="W153" i="11"/>
  <c r="W141" i="11"/>
  <c r="W67" i="11"/>
  <c r="V42" i="11"/>
  <c r="W42" i="11" s="1"/>
  <c r="W59" i="11"/>
  <c r="W46" i="11"/>
  <c r="W220" i="11"/>
  <c r="W240" i="11"/>
  <c r="W102" i="11"/>
  <c r="W107" i="11"/>
  <c r="W109" i="11"/>
  <c r="W150" i="11"/>
  <c r="W245" i="11"/>
  <c r="W105" i="11"/>
  <c r="W172" i="11"/>
  <c r="W137" i="11"/>
  <c r="W216" i="11"/>
  <c r="W237" i="11"/>
  <c r="W250" i="11"/>
  <c r="W120" i="11"/>
  <c r="W212" i="11"/>
  <c r="V86" i="11"/>
  <c r="W86" i="11" s="1"/>
  <c r="V90" i="11"/>
  <c r="W90" i="11" s="1"/>
  <c r="W12" i="11"/>
  <c r="W85" i="11"/>
  <c r="W140" i="11"/>
  <c r="W183" i="11"/>
  <c r="V226" i="11"/>
  <c r="W226" i="11" s="1"/>
  <c r="V99" i="11"/>
  <c r="W99" i="11" s="1"/>
  <c r="W184" i="11"/>
  <c r="V111" i="11"/>
  <c r="W111" i="11" s="1"/>
  <c r="W76" i="11"/>
  <c r="V148" i="11"/>
  <c r="W148" i="11" s="1"/>
  <c r="W129" i="11"/>
  <c r="W145" i="11"/>
  <c r="V196" i="11"/>
  <c r="W196" i="11" s="1"/>
  <c r="W227" i="11"/>
  <c r="W151" i="11"/>
  <c r="W125" i="11"/>
  <c r="V243" i="11"/>
  <c r="W243" i="11" s="1"/>
  <c r="V223" i="11"/>
  <c r="W223" i="11" s="1"/>
  <c r="W97" i="11"/>
  <c r="V186" i="11"/>
  <c r="W186" i="11" s="1"/>
  <c r="W187" i="11"/>
  <c r="W200" i="11"/>
  <c r="W89" i="11"/>
  <c r="W221" i="11"/>
  <c r="V143" i="11"/>
  <c r="W143" i="11" s="1"/>
  <c r="W241" i="11"/>
  <c r="V192" i="11"/>
  <c r="W192" i="11" s="1"/>
  <c r="W232" i="11"/>
  <c r="W133" i="11"/>
  <c r="V36" i="11"/>
  <c r="W36" i="11" s="1"/>
  <c r="V122" i="11"/>
  <c r="W122" i="11" s="1"/>
  <c r="V211" i="11"/>
  <c r="W211" i="11" s="1"/>
  <c r="W213" i="11"/>
  <c r="V48" i="11"/>
  <c r="W48" i="11" s="1"/>
  <c r="W8" i="11"/>
  <c r="W209" i="11"/>
  <c r="W224" i="11"/>
  <c r="W104" i="11"/>
  <c r="W117" i="11"/>
  <c r="W205" i="11"/>
  <c r="W139" i="11"/>
  <c r="W168" i="11"/>
  <c r="V179" i="11"/>
  <c r="W179" i="11" s="1"/>
  <c r="W161" i="11"/>
  <c r="W177" i="11"/>
  <c r="V127" i="11"/>
  <c r="W127" i="11" s="1"/>
  <c r="W121" i="11"/>
  <c r="W144" i="11"/>
  <c r="W123" i="11"/>
  <c r="W229" i="11"/>
  <c r="W79" i="11"/>
  <c r="W249" i="11"/>
  <c r="W165" i="11"/>
  <c r="W68" i="11"/>
  <c r="W178" i="11"/>
  <c r="W71" i="11"/>
  <c r="W201" i="11"/>
  <c r="W88" i="11"/>
  <c r="V28" i="11"/>
  <c r="W28" i="11" s="1"/>
  <c r="W182" i="11"/>
  <c r="V239" i="11"/>
  <c r="W239" i="11" s="1"/>
  <c r="V233" i="11"/>
  <c r="W233" i="11" s="1"/>
  <c r="W93" i="11"/>
  <c r="V52" i="11"/>
  <c r="W52" i="11" s="1"/>
  <c r="V163" i="11"/>
  <c r="W163" i="11" s="1"/>
  <c r="W173" i="11"/>
  <c r="W169" i="11"/>
  <c r="W83" i="11"/>
  <c r="W119" i="11"/>
  <c r="W6" i="11"/>
  <c r="W13" i="11"/>
  <c r="W38" i="11"/>
  <c r="W41" i="11"/>
  <c r="W25" i="11"/>
  <c r="W29" i="11"/>
  <c r="W45" i="11"/>
  <c r="V3" i="11"/>
  <c r="W3" i="11" s="1"/>
  <c r="X3" i="11" s="1"/>
  <c r="X4" i="11" s="1"/>
  <c r="V20" i="11"/>
  <c r="W20" i="11" s="1"/>
  <c r="W21" i="11"/>
  <c r="W64" i="11"/>
  <c r="W65" i="11"/>
  <c r="W49" i="11"/>
  <c r="W33" i="11"/>
  <c r="W11" i="11"/>
  <c r="W57" i="11"/>
  <c r="Q3" i="11" l="1"/>
  <c r="R3" i="11" s="1"/>
  <c r="X5" i="11"/>
  <c r="X6" i="11" s="1"/>
  <c r="X7" i="11" s="1"/>
  <c r="X8" i="11" s="1"/>
  <c r="X9" i="11" s="1"/>
  <c r="X10" i="11" s="1"/>
  <c r="X11" i="11" s="1"/>
  <c r="X12" i="11" s="1"/>
  <c r="X13" i="11" s="1"/>
  <c r="X14" i="11" s="1"/>
  <c r="X15" i="11" s="1"/>
  <c r="X16" i="11" s="1"/>
  <c r="X17" i="11" s="1"/>
  <c r="X18" i="11" s="1"/>
  <c r="X19" i="11" s="1"/>
  <c r="X20" i="11" s="1"/>
  <c r="X21" i="11" s="1"/>
  <c r="X22" i="11" s="1"/>
  <c r="X23" i="11" s="1"/>
  <c r="X24" i="11" s="1"/>
  <c r="X25" i="11" s="1"/>
  <c r="X26" i="11" s="1"/>
  <c r="X27" i="11" s="1"/>
  <c r="X28" i="11" s="1"/>
  <c r="X29" i="11" s="1"/>
  <c r="X30" i="11" s="1"/>
  <c r="X31" i="11" s="1"/>
  <c r="X32" i="11" s="1"/>
  <c r="X33" i="11" s="1"/>
  <c r="X34" i="11" s="1"/>
  <c r="X35" i="11" s="1"/>
  <c r="X36" i="11" s="1"/>
  <c r="X37" i="11" s="1"/>
  <c r="X38" i="11" s="1"/>
  <c r="X39" i="11" s="1"/>
  <c r="X40" i="11" s="1"/>
  <c r="X41" i="11" s="1"/>
  <c r="X42" i="11" s="1"/>
  <c r="X43" i="11" s="1"/>
  <c r="X44" i="11" s="1"/>
  <c r="X45" i="11" s="1"/>
  <c r="X46" i="11" s="1"/>
  <c r="X47" i="11" s="1"/>
  <c r="X48" i="11" s="1"/>
  <c r="X49" i="11" s="1"/>
  <c r="X50" i="11" s="1"/>
  <c r="X51" i="11" s="1"/>
  <c r="X52" i="11" s="1"/>
  <c r="X53" i="11" s="1"/>
  <c r="X54" i="11" s="1"/>
  <c r="X55" i="11" s="1"/>
  <c r="X56" i="11" s="1"/>
  <c r="X57" i="11" s="1"/>
  <c r="X58" i="11" s="1"/>
  <c r="X59" i="11" s="1"/>
  <c r="X60" i="11" s="1"/>
  <c r="X61" i="11" s="1"/>
  <c r="X62" i="11" s="1"/>
  <c r="X63" i="11" s="1"/>
  <c r="X64" i="11" s="1"/>
  <c r="X65" i="11" s="1"/>
  <c r="X66" i="11" s="1"/>
  <c r="X67" i="11" s="1"/>
  <c r="X68" i="11" s="1"/>
  <c r="X69" i="11" s="1"/>
  <c r="X70" i="11" s="1"/>
  <c r="X71" i="11" s="1"/>
  <c r="X72" i="11" s="1"/>
  <c r="X73" i="11" s="1"/>
  <c r="X74" i="11" s="1"/>
  <c r="X75" i="11" s="1"/>
  <c r="X76" i="11" s="1"/>
  <c r="X77" i="11" s="1"/>
  <c r="X78" i="11" s="1"/>
  <c r="X79" i="11" s="1"/>
  <c r="X80" i="11" s="1"/>
  <c r="X81" i="11" s="1"/>
  <c r="X82" i="11" s="1"/>
  <c r="X83" i="11" s="1"/>
  <c r="X84" i="11" s="1"/>
  <c r="X85" i="11" s="1"/>
  <c r="X86" i="11" s="1"/>
  <c r="X87" i="11" s="1"/>
  <c r="X88" i="11" s="1"/>
  <c r="X89" i="11" s="1"/>
  <c r="X90" i="11" s="1"/>
  <c r="X91" i="11" s="1"/>
  <c r="X92" i="11" s="1"/>
  <c r="X93" i="11" s="1"/>
  <c r="X94" i="11" s="1"/>
  <c r="X95" i="11" s="1"/>
  <c r="X96" i="11" s="1"/>
  <c r="X97" i="11" s="1"/>
  <c r="X98" i="11" s="1"/>
  <c r="X99" i="11" s="1"/>
  <c r="X100" i="11" s="1"/>
  <c r="X101" i="11" s="1"/>
  <c r="X102" i="11" s="1"/>
  <c r="X103" i="11" s="1"/>
  <c r="X104" i="11" s="1"/>
  <c r="X105" i="11" s="1"/>
  <c r="X106" i="11" s="1"/>
  <c r="X107" i="11" s="1"/>
  <c r="X108" i="11" s="1"/>
  <c r="X109" i="11" s="1"/>
  <c r="X110" i="11" s="1"/>
  <c r="X111" i="11" s="1"/>
  <c r="X112" i="11" s="1"/>
  <c r="X113" i="11" s="1"/>
  <c r="X114" i="11" s="1"/>
  <c r="X115" i="11" s="1"/>
  <c r="X116" i="11" s="1"/>
  <c r="X117" i="11" s="1"/>
  <c r="X118" i="11" s="1"/>
  <c r="X119" i="11" s="1"/>
  <c r="X120" i="11" s="1"/>
  <c r="X121" i="11" s="1"/>
  <c r="X122" i="11" s="1"/>
  <c r="X123" i="11" s="1"/>
  <c r="X124" i="11" s="1"/>
  <c r="X125" i="11" s="1"/>
  <c r="X126" i="11" s="1"/>
  <c r="X127" i="11" s="1"/>
  <c r="X128" i="11" s="1"/>
  <c r="X129" i="11" s="1"/>
  <c r="X130" i="11" s="1"/>
  <c r="X131" i="11" s="1"/>
  <c r="X132" i="11" s="1"/>
  <c r="X133" i="11" s="1"/>
  <c r="X134" i="11" s="1"/>
  <c r="X135" i="11" s="1"/>
  <c r="X136" i="11" s="1"/>
  <c r="X137" i="11" s="1"/>
  <c r="X138" i="11" s="1"/>
  <c r="X139" i="11" s="1"/>
  <c r="X140" i="11" s="1"/>
  <c r="X141" i="11" s="1"/>
  <c r="X142" i="11" s="1"/>
  <c r="X143" i="11" s="1"/>
  <c r="X144" i="11" s="1"/>
  <c r="X145" i="11" s="1"/>
  <c r="X146" i="11" s="1"/>
  <c r="X147" i="11" s="1"/>
  <c r="X148" i="11" s="1"/>
  <c r="X149" i="11" s="1"/>
  <c r="X150" i="11" s="1"/>
  <c r="X151" i="11" s="1"/>
  <c r="X152" i="11" s="1"/>
  <c r="X153" i="11" s="1"/>
  <c r="X154" i="11" s="1"/>
  <c r="X155" i="11" s="1"/>
  <c r="X156" i="11" s="1"/>
  <c r="X157" i="11" s="1"/>
  <c r="X158" i="11" s="1"/>
  <c r="X159" i="11" s="1"/>
  <c r="X160" i="11" s="1"/>
  <c r="X161" i="11" s="1"/>
  <c r="X162" i="11" s="1"/>
  <c r="X163" i="11" s="1"/>
  <c r="X164" i="11" s="1"/>
  <c r="X165" i="11" s="1"/>
  <c r="X166" i="11" s="1"/>
  <c r="X167" i="11" s="1"/>
  <c r="X168" i="11" s="1"/>
  <c r="X169" i="11" s="1"/>
  <c r="X170" i="11" s="1"/>
  <c r="X171" i="11" s="1"/>
  <c r="X172" i="11" s="1"/>
  <c r="X173" i="11" s="1"/>
  <c r="X174" i="11" s="1"/>
  <c r="X175" i="11" s="1"/>
  <c r="X176" i="11" s="1"/>
  <c r="X177" i="11" s="1"/>
  <c r="X178" i="11" s="1"/>
  <c r="X179" i="11" s="1"/>
  <c r="X180" i="11" s="1"/>
  <c r="X181" i="11" s="1"/>
  <c r="X182" i="11" s="1"/>
  <c r="X183" i="11" s="1"/>
  <c r="X184" i="11" s="1"/>
  <c r="X185" i="11" s="1"/>
  <c r="X186" i="11" s="1"/>
  <c r="X187" i="11" s="1"/>
  <c r="X188" i="11" s="1"/>
  <c r="X189" i="11" s="1"/>
  <c r="X190" i="11" s="1"/>
  <c r="X191" i="11" s="1"/>
  <c r="X192" i="11" s="1"/>
  <c r="X193" i="11" s="1"/>
  <c r="X194" i="11" s="1"/>
  <c r="X195" i="11" s="1"/>
  <c r="X196" i="11" s="1"/>
  <c r="X197" i="11" s="1"/>
  <c r="X198" i="11" s="1"/>
  <c r="X199" i="11" s="1"/>
  <c r="X200" i="11" s="1"/>
  <c r="X201" i="11" s="1"/>
  <c r="X202" i="11" s="1"/>
  <c r="X203" i="11" s="1"/>
  <c r="X204" i="11" s="1"/>
  <c r="X205" i="11" s="1"/>
  <c r="X206" i="11" s="1"/>
  <c r="X207" i="11" s="1"/>
  <c r="X208" i="11" s="1"/>
  <c r="X209" i="11" s="1"/>
  <c r="X210" i="11" s="1"/>
  <c r="X211" i="11" s="1"/>
  <c r="X212" i="11" s="1"/>
  <c r="X213" i="11" s="1"/>
  <c r="X214" i="11" s="1"/>
  <c r="X215" i="11" s="1"/>
  <c r="X216" i="11" s="1"/>
  <c r="X217" i="11" s="1"/>
  <c r="X218" i="11" s="1"/>
  <c r="X219" i="11" s="1"/>
  <c r="X220" i="11" s="1"/>
  <c r="X221" i="11" s="1"/>
  <c r="X222" i="11" s="1"/>
  <c r="X223" i="11" s="1"/>
  <c r="X224" i="11" s="1"/>
  <c r="X225" i="11" s="1"/>
  <c r="X226" i="11" s="1"/>
  <c r="X227" i="11" s="1"/>
  <c r="X228" i="11" s="1"/>
  <c r="X229" i="11" s="1"/>
  <c r="X230" i="11" s="1"/>
  <c r="X231" i="11" s="1"/>
  <c r="X232" i="11" s="1"/>
  <c r="X233" i="11" s="1"/>
  <c r="X234" i="11" s="1"/>
  <c r="X235" i="11" s="1"/>
  <c r="X236" i="11" s="1"/>
  <c r="X237" i="11" s="1"/>
  <c r="X238" i="11" s="1"/>
  <c r="X239" i="11" s="1"/>
  <c r="X240" i="11" s="1"/>
  <c r="X241" i="11" s="1"/>
  <c r="X242" i="11" s="1"/>
  <c r="X243" i="11" s="1"/>
  <c r="X244" i="11" s="1"/>
  <c r="X245" i="11" s="1"/>
  <c r="X246" i="11" s="1"/>
  <c r="X247" i="11" s="1"/>
  <c r="X248" i="11" s="1"/>
  <c r="X249" i="11" s="1"/>
  <c r="X250" i="11" s="1"/>
  <c r="X251" i="11" s="1"/>
  <c r="X252" i="11" s="1"/>
  <c r="X253" i="11" s="1"/>
  <c r="I256" i="11"/>
  <c r="I257" i="11" s="1"/>
  <c r="I258" i="11" s="1"/>
  <c r="Q4" i="11"/>
  <c r="R4" i="11" l="1"/>
  <c r="X254" i="11"/>
  <c r="Q5" i="11"/>
  <c r="X256" i="11" l="1"/>
  <c r="X257" i="11" s="1"/>
  <c r="X258" i="11" s="1"/>
  <c r="Y260" i="11" s="1"/>
  <c r="R5" i="11"/>
  <c r="Q6" i="11"/>
  <c r="X261" i="11" l="1"/>
  <c r="R6" i="11"/>
  <c r="Q7" i="11"/>
  <c r="R7" i="11" l="1"/>
  <c r="Q8" i="11"/>
  <c r="R8" i="11" l="1"/>
  <c r="Q9" i="11"/>
  <c r="R9" i="11" l="1"/>
  <c r="Q10" i="11"/>
  <c r="R10" i="11" l="1"/>
  <c r="Q11" i="11"/>
  <c r="R11" i="11" l="1"/>
  <c r="Q12" i="11"/>
  <c r="R12" i="11" l="1"/>
  <c r="Q13" i="11"/>
  <c r="R13" i="11" l="1"/>
  <c r="Q14" i="11"/>
  <c r="R14" i="11" l="1"/>
  <c r="Q15" i="11"/>
  <c r="R15" i="11" l="1"/>
  <c r="Q16" i="11"/>
  <c r="R16" i="11" s="1"/>
  <c r="Q17" i="11" l="1"/>
  <c r="R17" i="11" s="1"/>
  <c r="Q18" i="11" l="1"/>
  <c r="R18" i="11" s="1"/>
  <c r="Q19" i="11" l="1"/>
  <c r="R19" i="11" s="1"/>
  <c r="Q20" i="11" l="1"/>
  <c r="R20" i="11" s="1"/>
  <c r="Q21" i="11" l="1"/>
  <c r="R21" i="11" s="1"/>
  <c r="Q22" i="11" l="1"/>
  <c r="R22" i="11" s="1"/>
  <c r="Q23" i="11" l="1"/>
  <c r="R23" i="11" s="1"/>
  <c r="Q24" i="11" l="1"/>
  <c r="R24" i="11" s="1"/>
  <c r="Q25" i="11" l="1"/>
  <c r="R25" i="11" s="1"/>
  <c r="Q26" i="11" l="1"/>
  <c r="R26" i="11" s="1"/>
  <c r="Q27" i="11" l="1"/>
  <c r="R27" i="11" s="1"/>
  <c r="Q28" i="11" l="1"/>
  <c r="R28" i="11" s="1"/>
  <c r="Q29" i="11" l="1"/>
  <c r="R29" i="11" s="1"/>
  <c r="Q30" i="11" l="1"/>
  <c r="R30" i="11" s="1"/>
  <c r="Q31" i="11" l="1"/>
  <c r="R31" i="11" s="1"/>
  <c r="Q32" i="11" l="1"/>
  <c r="R32" i="11" s="1"/>
  <c r="Q33" i="11" l="1"/>
  <c r="R33" i="11" s="1"/>
  <c r="Q34" i="11" l="1"/>
  <c r="R34" i="11" s="1"/>
  <c r="Q35" i="11" l="1"/>
  <c r="R35" i="11" s="1"/>
  <c r="Q36" i="11" l="1"/>
  <c r="R36" i="11" s="1"/>
  <c r="Q37" i="11" l="1"/>
  <c r="R37" i="11" s="1"/>
  <c r="Q38" i="11" l="1"/>
  <c r="R38" i="11" s="1"/>
  <c r="Q39" i="11" l="1"/>
  <c r="R39" i="11" s="1"/>
  <c r="Q40" i="11" l="1"/>
  <c r="R40" i="11" s="1"/>
  <c r="Q41" i="11" l="1"/>
  <c r="R41" i="11" s="1"/>
  <c r="Q42" i="11" l="1"/>
  <c r="R42" i="11" s="1"/>
  <c r="Q43" i="11" l="1"/>
  <c r="R43" i="11" s="1"/>
  <c r="Q44" i="11" l="1"/>
  <c r="R44" i="11" s="1"/>
  <c r="Q45" i="11" l="1"/>
  <c r="R45" i="11" s="1"/>
  <c r="Q46" i="11" l="1"/>
  <c r="R46" i="11" s="1"/>
  <c r="Q47" i="11" l="1"/>
  <c r="R47" i="11" s="1"/>
  <c r="Q48" i="11" l="1"/>
  <c r="R48" i="11" s="1"/>
  <c r="Q49" i="11" l="1"/>
  <c r="R49" i="11" s="1"/>
  <c r="Q50" i="11" l="1"/>
  <c r="R50" i="11" s="1"/>
  <c r="Q51" i="11" l="1"/>
  <c r="R51" i="11" s="1"/>
  <c r="Q52" i="11" l="1"/>
  <c r="R52" i="11" s="1"/>
  <c r="Q53" i="11" l="1"/>
  <c r="R53" i="11" s="1"/>
  <c r="Q54" i="11" l="1"/>
  <c r="R54" i="11" s="1"/>
  <c r="Q55" i="11" l="1"/>
  <c r="R55" i="11" s="1"/>
  <c r="Q56" i="11" l="1"/>
  <c r="R56" i="11" s="1"/>
  <c r="Q57" i="11" l="1"/>
  <c r="R57" i="11" s="1"/>
  <c r="Q58" i="11" l="1"/>
  <c r="R58" i="11" s="1"/>
  <c r="Q59" i="11" l="1"/>
  <c r="R59" i="11" s="1"/>
  <c r="Q60" i="11" l="1"/>
  <c r="R60" i="11" s="1"/>
  <c r="Q61" i="11" l="1"/>
  <c r="R61" i="11" s="1"/>
  <c r="Q62" i="11" l="1"/>
  <c r="R62" i="11" s="1"/>
  <c r="Q63" i="11" l="1"/>
  <c r="R63" i="11" s="1"/>
  <c r="Q64" i="11" l="1"/>
  <c r="R64" i="11" s="1"/>
  <c r="Q65" i="11" l="1"/>
  <c r="R65" i="11" s="1"/>
  <c r="Q66" i="11" l="1"/>
  <c r="R66" i="11" s="1"/>
  <c r="Q67" i="11" l="1"/>
  <c r="R67" i="11" s="1"/>
  <c r="Q68" i="11" l="1"/>
  <c r="R68" i="11" s="1"/>
  <c r="Q69" i="11" l="1"/>
  <c r="R69" i="11" s="1"/>
  <c r="Q70" i="11" l="1"/>
  <c r="R70" i="11" s="1"/>
  <c r="Q71" i="11" l="1"/>
  <c r="R71" i="11" s="1"/>
  <c r="Q72" i="11" l="1"/>
  <c r="R72" i="11" s="1"/>
  <c r="Q73" i="11" l="1"/>
  <c r="R73" i="11" s="1"/>
  <c r="Q74" i="11" l="1"/>
  <c r="R74" i="11" s="1"/>
  <c r="Q75" i="11" l="1"/>
  <c r="R75" i="11" s="1"/>
  <c r="Q76" i="11" l="1"/>
  <c r="R76" i="11" s="1"/>
  <c r="Q77" i="11" l="1"/>
  <c r="R77" i="11" s="1"/>
  <c r="Q78" i="11" l="1"/>
  <c r="R78" i="11" s="1"/>
  <c r="Q79" i="11" l="1"/>
  <c r="R79" i="11" s="1"/>
  <c r="Q80" i="11" l="1"/>
  <c r="R80" i="11" s="1"/>
  <c r="Q81" i="11" l="1"/>
  <c r="R81" i="11" s="1"/>
  <c r="Q82" i="11" l="1"/>
  <c r="R82" i="11" s="1"/>
  <c r="Q83" i="11" l="1"/>
  <c r="R83" i="11" s="1"/>
  <c r="Q84" i="11" l="1"/>
  <c r="R84" i="11" s="1"/>
  <c r="Q85" i="11" l="1"/>
  <c r="R85" i="11" s="1"/>
  <c r="Q86" i="11" l="1"/>
  <c r="R86" i="11" s="1"/>
  <c r="Q87" i="11" l="1"/>
  <c r="R87" i="11" s="1"/>
  <c r="Q88" i="11" l="1"/>
  <c r="R88" i="11" s="1"/>
  <c r="Q89" i="11" l="1"/>
  <c r="R89" i="11" s="1"/>
  <c r="Q90" i="11" l="1"/>
  <c r="R90" i="11" s="1"/>
  <c r="Q91" i="11" l="1"/>
  <c r="R91" i="11" s="1"/>
  <c r="Q92" i="11" l="1"/>
  <c r="R92" i="11" s="1"/>
  <c r="Q93" i="11" l="1"/>
  <c r="R93" i="11" s="1"/>
  <c r="Q94" i="11" l="1"/>
  <c r="R94" i="11" s="1"/>
  <c r="Q95" i="11" l="1"/>
  <c r="R95" i="11" s="1"/>
  <c r="Q96" i="11" l="1"/>
  <c r="R96" i="11" s="1"/>
  <c r="Q97" i="11" l="1"/>
  <c r="R97" i="11" s="1"/>
  <c r="Q98" i="11" l="1"/>
  <c r="R98" i="11" s="1"/>
  <c r="Q99" i="11" l="1"/>
  <c r="R99" i="11" s="1"/>
  <c r="Q100" i="11" l="1"/>
  <c r="R100" i="11" s="1"/>
  <c r="Q101" i="11" l="1"/>
  <c r="R101" i="11" s="1"/>
  <c r="Q102" i="11" l="1"/>
  <c r="R102" i="11" s="1"/>
  <c r="Q103" i="11" l="1"/>
  <c r="R103" i="11" s="1"/>
  <c r="Q104" i="11" l="1"/>
  <c r="R104" i="11" s="1"/>
  <c r="Q105" i="11" l="1"/>
  <c r="R105" i="11" s="1"/>
  <c r="Q106" i="11" l="1"/>
  <c r="R106" i="11" s="1"/>
  <c r="Q107" i="11" l="1"/>
  <c r="R107" i="11" s="1"/>
  <c r="Q108" i="11" l="1"/>
  <c r="R108" i="11" s="1"/>
  <c r="Q109" i="11" l="1"/>
  <c r="R109" i="11" s="1"/>
  <c r="Q110" i="11" l="1"/>
  <c r="R110" i="11" s="1"/>
  <c r="Q111" i="11" l="1"/>
  <c r="R111" i="11" s="1"/>
  <c r="Q112" i="11" l="1"/>
  <c r="R112" i="11" s="1"/>
  <c r="Q113" i="11" l="1"/>
  <c r="R113" i="11" s="1"/>
  <c r="Q114" i="11" l="1"/>
  <c r="R114" i="11" s="1"/>
  <c r="Q115" i="11" l="1"/>
  <c r="R115" i="11" s="1"/>
  <c r="Q116" i="11" l="1"/>
  <c r="R116" i="11" s="1"/>
  <c r="Q117" i="11" l="1"/>
  <c r="R117" i="11" s="1"/>
  <c r="Q118" i="11" l="1"/>
  <c r="R118" i="11" s="1"/>
  <c r="Q119" i="11" l="1"/>
  <c r="R119" i="11" s="1"/>
  <c r="Q120" i="11" l="1"/>
  <c r="R120" i="11" s="1"/>
  <c r="Q121" i="11" l="1"/>
  <c r="R121" i="11" s="1"/>
  <c r="Q122" i="11" l="1"/>
  <c r="R122" i="11" s="1"/>
  <c r="Q123" i="11" l="1"/>
  <c r="R123" i="11" s="1"/>
  <c r="Q124" i="11" l="1"/>
  <c r="R124" i="11" s="1"/>
  <c r="Q125" i="11" l="1"/>
  <c r="R125" i="11" s="1"/>
  <c r="Q126" i="11" l="1"/>
  <c r="R126" i="11" s="1"/>
  <c r="Q127" i="11" l="1"/>
  <c r="R127" i="11" s="1"/>
  <c r="Q128" i="11" l="1"/>
  <c r="R128" i="11" s="1"/>
  <c r="Q129" i="11" l="1"/>
  <c r="R129" i="11" s="1"/>
  <c r="Q130" i="11" l="1"/>
  <c r="R130" i="11" s="1"/>
  <c r="Q131" i="11" l="1"/>
  <c r="R131" i="11" s="1"/>
  <c r="Q132" i="11" l="1"/>
  <c r="R132" i="11" s="1"/>
  <c r="Q133" i="11" l="1"/>
  <c r="R133" i="11" s="1"/>
  <c r="Q134" i="11" l="1"/>
  <c r="R134" i="11" s="1"/>
  <c r="Q135" i="11" l="1"/>
  <c r="R135" i="11" s="1"/>
  <c r="Q136" i="11" l="1"/>
  <c r="R136" i="11" s="1"/>
  <c r="Q137" i="11" l="1"/>
  <c r="R137" i="11" s="1"/>
  <c r="Q138" i="11" l="1"/>
  <c r="R138" i="11" s="1"/>
  <c r="Q139" i="11" l="1"/>
  <c r="R139" i="11" s="1"/>
  <c r="Q140" i="11" l="1"/>
  <c r="R140" i="11" s="1"/>
  <c r="Q141" i="11" l="1"/>
  <c r="R141" i="11" s="1"/>
  <c r="Q142" i="11" l="1"/>
  <c r="R142" i="11" s="1"/>
  <c r="Q143" i="11" l="1"/>
  <c r="R143" i="11" s="1"/>
  <c r="Q144" i="11" l="1"/>
  <c r="R144" i="11" s="1"/>
  <c r="Q145" i="11" l="1"/>
  <c r="R145" i="11" s="1"/>
  <c r="Q146" i="11" l="1"/>
  <c r="R146" i="11" s="1"/>
  <c r="Q147" i="11" l="1"/>
  <c r="R147" i="11" s="1"/>
  <c r="Q148" i="11" l="1"/>
  <c r="R148" i="11" s="1"/>
  <c r="Q149" i="11" l="1"/>
  <c r="R149" i="11" s="1"/>
  <c r="Q150" i="11" l="1"/>
  <c r="R150" i="11" s="1"/>
  <c r="Q151" i="11" l="1"/>
  <c r="R151" i="11" s="1"/>
  <c r="Q152" i="11" l="1"/>
  <c r="R152" i="11" s="1"/>
  <c r="Q153" i="11" l="1"/>
  <c r="R153" i="11" s="1"/>
  <c r="Q154" i="11" l="1"/>
  <c r="R154" i="11" s="1"/>
  <c r="Q155" i="11" l="1"/>
  <c r="R155" i="11" s="1"/>
  <c r="Q156" i="11" l="1"/>
  <c r="R156" i="11" s="1"/>
  <c r="Q157" i="11" l="1"/>
  <c r="R157" i="11" s="1"/>
  <c r="Q158" i="11" l="1"/>
  <c r="R158" i="11" s="1"/>
  <c r="Q159" i="11" l="1"/>
  <c r="R159" i="11" s="1"/>
  <c r="Q160" i="11" l="1"/>
  <c r="R160" i="11" s="1"/>
  <c r="Q161" i="11" l="1"/>
  <c r="R161" i="11" s="1"/>
  <c r="Q162" i="11" l="1"/>
  <c r="R162" i="11" s="1"/>
  <c r="Q163" i="11" l="1"/>
  <c r="R163" i="11" s="1"/>
  <c r="Q164" i="11" l="1"/>
  <c r="R164" i="11" s="1"/>
  <c r="Q165" i="11" l="1"/>
  <c r="R165" i="11" s="1"/>
  <c r="Q166" i="11" l="1"/>
  <c r="R166" i="11" s="1"/>
  <c r="Q167" i="11" l="1"/>
  <c r="R167" i="11" s="1"/>
  <c r="Q168" i="11" l="1"/>
  <c r="R168" i="11" s="1"/>
  <c r="Q169" i="11" l="1"/>
  <c r="R169" i="11" s="1"/>
  <c r="Q170" i="11" l="1"/>
  <c r="R170" i="11" s="1"/>
  <c r="Q171" i="11" l="1"/>
  <c r="R171" i="11" s="1"/>
  <c r="Q172" i="11" l="1"/>
  <c r="R172" i="11" s="1"/>
  <c r="Q173" i="11" l="1"/>
  <c r="R173" i="11" s="1"/>
  <c r="Q174" i="11" l="1"/>
  <c r="R174" i="11" s="1"/>
  <c r="Q175" i="11" l="1"/>
  <c r="R175" i="11" s="1"/>
  <c r="Q176" i="11" l="1"/>
  <c r="R176" i="11" s="1"/>
  <c r="Q177" i="11" l="1"/>
  <c r="R177" i="11" s="1"/>
  <c r="Q178" i="11" l="1"/>
  <c r="R178" i="11" s="1"/>
  <c r="Q179" i="11" l="1"/>
  <c r="R179" i="11" s="1"/>
  <c r="Q180" i="11" l="1"/>
  <c r="R180" i="11" s="1"/>
  <c r="Q181" i="11" l="1"/>
  <c r="R181" i="11" s="1"/>
  <c r="S3" i="8"/>
  <c r="S4" i="8"/>
  <c r="T4" i="8" s="1"/>
  <c r="S5" i="8"/>
  <c r="T5" i="8" s="1"/>
  <c r="S6" i="8"/>
  <c r="S7" i="8"/>
  <c r="S8" i="8"/>
  <c r="S9" i="8"/>
  <c r="S10" i="8"/>
  <c r="S11" i="8"/>
  <c r="T11" i="8" s="1"/>
  <c r="S12" i="8"/>
  <c r="T12" i="8" s="1"/>
  <c r="S13" i="8"/>
  <c r="T13" i="8" s="1"/>
  <c r="S14" i="8"/>
  <c r="S15" i="8"/>
  <c r="S16" i="8"/>
  <c r="S17" i="8"/>
  <c r="S18" i="8"/>
  <c r="S19" i="8"/>
  <c r="T19" i="8" s="1"/>
  <c r="S20" i="8"/>
  <c r="S21" i="8"/>
  <c r="T21" i="8" s="1"/>
  <c r="S22" i="8"/>
  <c r="S23" i="8"/>
  <c r="S24" i="8"/>
  <c r="S25" i="8"/>
  <c r="S26" i="8"/>
  <c r="S27" i="8"/>
  <c r="T27" i="8" s="1"/>
  <c r="S28" i="8"/>
  <c r="T28" i="8" s="1"/>
  <c r="S29" i="8"/>
  <c r="T29" i="8" s="1"/>
  <c r="S30" i="8"/>
  <c r="S31" i="8"/>
  <c r="S32" i="8"/>
  <c r="S33" i="8"/>
  <c r="T33" i="8" s="1"/>
  <c r="S34" i="8"/>
  <c r="S35" i="8"/>
  <c r="T35" i="8" s="1"/>
  <c r="S36" i="8"/>
  <c r="T36" i="8" s="1"/>
  <c r="S37" i="8"/>
  <c r="T37" i="8" s="1"/>
  <c r="S38" i="8"/>
  <c r="S39" i="8"/>
  <c r="S40" i="8"/>
  <c r="S41" i="8"/>
  <c r="T41" i="8" s="1"/>
  <c r="S42" i="8"/>
  <c r="S43" i="8"/>
  <c r="T43" i="8" s="1"/>
  <c r="S44" i="8"/>
  <c r="T44" i="8" s="1"/>
  <c r="S45" i="8"/>
  <c r="T45" i="8" s="1"/>
  <c r="S46" i="8"/>
  <c r="S47" i="8"/>
  <c r="S48" i="8"/>
  <c r="S49" i="8"/>
  <c r="T49" i="8" s="1"/>
  <c r="S50" i="8"/>
  <c r="S51" i="8"/>
  <c r="T51" i="8" s="1"/>
  <c r="S52" i="8"/>
  <c r="T52" i="8" s="1"/>
  <c r="S53" i="8"/>
  <c r="T53" i="8" s="1"/>
  <c r="S54" i="8"/>
  <c r="S55" i="8"/>
  <c r="S56" i="8"/>
  <c r="T56" i="8" s="1"/>
  <c r="S57" i="8"/>
  <c r="T57" i="8" s="1"/>
  <c r="S58" i="8"/>
  <c r="S59" i="8"/>
  <c r="T59" i="8" s="1"/>
  <c r="S60" i="8"/>
  <c r="S61" i="8"/>
  <c r="T61" i="8" s="1"/>
  <c r="S62" i="8"/>
  <c r="S63" i="8"/>
  <c r="S64" i="8"/>
  <c r="S65" i="8"/>
  <c r="T65" i="8" s="1"/>
  <c r="S2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L4" i="8"/>
  <c r="L3" i="8"/>
  <c r="T63" i="8" l="1"/>
  <c r="T55" i="8"/>
  <c r="T47" i="8"/>
  <c r="T39" i="8"/>
  <c r="T31" i="8"/>
  <c r="T23" i="8"/>
  <c r="T20" i="8"/>
  <c r="T64" i="8"/>
  <c r="T48" i="8"/>
  <c r="T62" i="8"/>
  <c r="T54" i="8"/>
  <c r="T46" i="8"/>
  <c r="T38" i="8"/>
  <c r="T30" i="8"/>
  <c r="T22" i="8"/>
  <c r="T6" i="8"/>
  <c r="W67" i="8"/>
  <c r="T25" i="8"/>
  <c r="T17" i="8"/>
  <c r="T9" i="8"/>
  <c r="T14" i="8"/>
  <c r="T60" i="8"/>
  <c r="T40" i="8"/>
  <c r="T32" i="8"/>
  <c r="T24" i="8"/>
  <c r="T16" i="8"/>
  <c r="T8" i="8"/>
  <c r="T15" i="8"/>
  <c r="T7" i="8"/>
  <c r="T58" i="8"/>
  <c r="T50" i="8"/>
  <c r="T42" i="8"/>
  <c r="T34" i="8"/>
  <c r="T26" i="8"/>
  <c r="T18" i="8"/>
  <c r="T10" i="8"/>
  <c r="T3" i="8"/>
  <c r="Q182" i="11"/>
  <c r="R182" i="11" s="1"/>
  <c r="C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Q183" i="11" l="1"/>
  <c r="R183" i="11" s="1"/>
  <c r="F54" i="8"/>
  <c r="G54" i="8" s="1"/>
  <c r="U54" i="8" s="1"/>
  <c r="M54" i="8"/>
  <c r="F59" i="8"/>
  <c r="G59" i="8" s="1"/>
  <c r="U59" i="8" s="1"/>
  <c r="M59" i="8"/>
  <c r="F51" i="8"/>
  <c r="G51" i="8" s="1"/>
  <c r="U51" i="8" s="1"/>
  <c r="M51" i="8"/>
  <c r="O51" i="8" s="1"/>
  <c r="F43" i="8"/>
  <c r="G43" i="8" s="1"/>
  <c r="U43" i="8" s="1"/>
  <c r="M43" i="8"/>
  <c r="F35" i="8"/>
  <c r="G35" i="8" s="1"/>
  <c r="U35" i="8" s="1"/>
  <c r="M35" i="8"/>
  <c r="F27" i="8"/>
  <c r="G27" i="8" s="1"/>
  <c r="U27" i="8" s="1"/>
  <c r="M27" i="8"/>
  <c r="F19" i="8"/>
  <c r="G19" i="8" s="1"/>
  <c r="U19" i="8" s="1"/>
  <c r="M19" i="8"/>
  <c r="O19" i="8" s="1"/>
  <c r="F11" i="8"/>
  <c r="G11" i="8" s="1"/>
  <c r="U11" i="8" s="1"/>
  <c r="M11" i="8"/>
  <c r="F3" i="8"/>
  <c r="G3" i="8" s="1"/>
  <c r="U3" i="8" s="1"/>
  <c r="M3" i="8"/>
  <c r="F61" i="8"/>
  <c r="G61" i="8" s="1"/>
  <c r="U61" i="8" s="1"/>
  <c r="M61" i="8"/>
  <c r="F58" i="8"/>
  <c r="G58" i="8" s="1"/>
  <c r="U58" i="8" s="1"/>
  <c r="M58" i="8"/>
  <c r="O58" i="8" s="1"/>
  <c r="F50" i="8"/>
  <c r="G50" i="8" s="1"/>
  <c r="U50" i="8" s="1"/>
  <c r="M50" i="8"/>
  <c r="F42" i="8"/>
  <c r="G42" i="8" s="1"/>
  <c r="U42" i="8" s="1"/>
  <c r="M42" i="8"/>
  <c r="F34" i="8"/>
  <c r="G34" i="8" s="1"/>
  <c r="U34" i="8" s="1"/>
  <c r="M34" i="8"/>
  <c r="F26" i="8"/>
  <c r="G26" i="8" s="1"/>
  <c r="U26" i="8" s="1"/>
  <c r="M26" i="8"/>
  <c r="O26" i="8" s="1"/>
  <c r="F18" i="8"/>
  <c r="G18" i="8" s="1"/>
  <c r="U18" i="8" s="1"/>
  <c r="M18" i="8"/>
  <c r="F10" i="8"/>
  <c r="G10" i="8" s="1"/>
  <c r="U10" i="8" s="1"/>
  <c r="M10" i="8"/>
  <c r="F2" i="8"/>
  <c r="G2" i="8" s="1"/>
  <c r="M2" i="8"/>
  <c r="P2" i="8" s="1"/>
  <c r="F65" i="8"/>
  <c r="G65" i="8" s="1"/>
  <c r="U65" i="8" s="1"/>
  <c r="M65" i="8"/>
  <c r="F57" i="8"/>
  <c r="G57" i="8" s="1"/>
  <c r="U57" i="8" s="1"/>
  <c r="M57" i="8"/>
  <c r="F49" i="8"/>
  <c r="G49" i="8" s="1"/>
  <c r="U49" i="8" s="1"/>
  <c r="M49" i="8"/>
  <c r="F41" i="8"/>
  <c r="G41" i="8" s="1"/>
  <c r="U41" i="8" s="1"/>
  <c r="M41" i="8"/>
  <c r="F33" i="8"/>
  <c r="G33" i="8" s="1"/>
  <c r="U33" i="8" s="1"/>
  <c r="M33" i="8"/>
  <c r="F25" i="8"/>
  <c r="G25" i="8" s="1"/>
  <c r="U25" i="8" s="1"/>
  <c r="M25" i="8"/>
  <c r="F17" i="8"/>
  <c r="G17" i="8" s="1"/>
  <c r="U17" i="8" s="1"/>
  <c r="M17" i="8"/>
  <c r="F9" i="8"/>
  <c r="G9" i="8" s="1"/>
  <c r="U9" i="8" s="1"/>
  <c r="M9" i="8"/>
  <c r="F56" i="8"/>
  <c r="G56" i="8" s="1"/>
  <c r="U56" i="8" s="1"/>
  <c r="M56" i="8"/>
  <c r="F48" i="8"/>
  <c r="G48" i="8" s="1"/>
  <c r="U48" i="8" s="1"/>
  <c r="M48" i="8"/>
  <c r="F40" i="8"/>
  <c r="G40" i="8" s="1"/>
  <c r="U40" i="8" s="1"/>
  <c r="M40" i="8"/>
  <c r="F32" i="8"/>
  <c r="G32" i="8" s="1"/>
  <c r="U32" i="8" s="1"/>
  <c r="M32" i="8"/>
  <c r="F24" i="8"/>
  <c r="G24" i="8" s="1"/>
  <c r="U24" i="8" s="1"/>
  <c r="M24" i="8"/>
  <c r="F16" i="8"/>
  <c r="G16" i="8" s="1"/>
  <c r="U16" i="8" s="1"/>
  <c r="M16" i="8"/>
  <c r="F8" i="8"/>
  <c r="G8" i="8" s="1"/>
  <c r="U8" i="8" s="1"/>
  <c r="M8" i="8"/>
  <c r="F63" i="8"/>
  <c r="G63" i="8" s="1"/>
  <c r="U63" i="8" s="1"/>
  <c r="M63" i="8"/>
  <c r="F55" i="8"/>
  <c r="G55" i="8" s="1"/>
  <c r="U55" i="8" s="1"/>
  <c r="M55" i="8"/>
  <c r="O55" i="8" s="1"/>
  <c r="F47" i="8"/>
  <c r="G47" i="8" s="1"/>
  <c r="U47" i="8" s="1"/>
  <c r="M47" i="8"/>
  <c r="F39" i="8"/>
  <c r="G39" i="8" s="1"/>
  <c r="U39" i="8" s="1"/>
  <c r="M39" i="8"/>
  <c r="F31" i="8"/>
  <c r="G31" i="8" s="1"/>
  <c r="U31" i="8" s="1"/>
  <c r="M31" i="8"/>
  <c r="F23" i="8"/>
  <c r="G23" i="8" s="1"/>
  <c r="U23" i="8" s="1"/>
  <c r="M23" i="8"/>
  <c r="F15" i="8"/>
  <c r="G15" i="8" s="1"/>
  <c r="U15" i="8" s="1"/>
  <c r="M15" i="8"/>
  <c r="F7" i="8"/>
  <c r="G7" i="8" s="1"/>
  <c r="U7" i="8" s="1"/>
  <c r="M7" i="8"/>
  <c r="F64" i="8"/>
  <c r="G64" i="8" s="1"/>
  <c r="M64" i="8"/>
  <c r="O64" i="8" s="1"/>
  <c r="F46" i="8"/>
  <c r="G46" i="8" s="1"/>
  <c r="U46" i="8" s="1"/>
  <c r="M46" i="8"/>
  <c r="O46" i="8" s="1"/>
  <c r="F38" i="8"/>
  <c r="G38" i="8" s="1"/>
  <c r="U38" i="8" s="1"/>
  <c r="M38" i="8"/>
  <c r="F30" i="8"/>
  <c r="G30" i="8" s="1"/>
  <c r="U30" i="8" s="1"/>
  <c r="M30" i="8"/>
  <c r="F22" i="8"/>
  <c r="G22" i="8" s="1"/>
  <c r="U22" i="8" s="1"/>
  <c r="M22" i="8"/>
  <c r="O22" i="8" s="1"/>
  <c r="F14" i="8"/>
  <c r="G14" i="8" s="1"/>
  <c r="U14" i="8" s="1"/>
  <c r="M14" i="8"/>
  <c r="O14" i="8" s="1"/>
  <c r="F6" i="8"/>
  <c r="G6" i="8" s="1"/>
  <c r="U6" i="8" s="1"/>
  <c r="M6" i="8"/>
  <c r="F53" i="8"/>
  <c r="G53" i="8" s="1"/>
  <c r="U53" i="8" s="1"/>
  <c r="M53" i="8"/>
  <c r="F37" i="8"/>
  <c r="G37" i="8" s="1"/>
  <c r="U37" i="8" s="1"/>
  <c r="M37" i="8"/>
  <c r="F29" i="8"/>
  <c r="G29" i="8" s="1"/>
  <c r="U29" i="8" s="1"/>
  <c r="M29" i="8"/>
  <c r="O29" i="8" s="1"/>
  <c r="F21" i="8"/>
  <c r="G21" i="8" s="1"/>
  <c r="U21" i="8" s="1"/>
  <c r="M21" i="8"/>
  <c r="F13" i="8"/>
  <c r="G13" i="8" s="1"/>
  <c r="U13" i="8" s="1"/>
  <c r="M13" i="8"/>
  <c r="F5" i="8"/>
  <c r="G5" i="8" s="1"/>
  <c r="U5" i="8" s="1"/>
  <c r="M5" i="8"/>
  <c r="F62" i="8"/>
  <c r="G62" i="8" s="1"/>
  <c r="M62" i="8"/>
  <c r="O62" i="8" s="1"/>
  <c r="F45" i="8"/>
  <c r="G45" i="8" s="1"/>
  <c r="U45" i="8" s="1"/>
  <c r="M45" i="8"/>
  <c r="F60" i="8"/>
  <c r="G60" i="8" s="1"/>
  <c r="M60" i="8"/>
  <c r="O60" i="8" s="1"/>
  <c r="F52" i="8"/>
  <c r="G52" i="8" s="1"/>
  <c r="U52" i="8" s="1"/>
  <c r="M52" i="8"/>
  <c r="F44" i="8"/>
  <c r="G44" i="8" s="1"/>
  <c r="U44" i="8" s="1"/>
  <c r="M44" i="8"/>
  <c r="O44" i="8" s="1"/>
  <c r="F36" i="8"/>
  <c r="G36" i="8" s="1"/>
  <c r="U36" i="8" s="1"/>
  <c r="V36" i="8" s="1"/>
  <c r="W36" i="8" s="1"/>
  <c r="M36" i="8"/>
  <c r="O36" i="8" s="1"/>
  <c r="F28" i="8"/>
  <c r="G28" i="8" s="1"/>
  <c r="M28" i="8"/>
  <c r="O28" i="8" s="1"/>
  <c r="F20" i="8"/>
  <c r="G20" i="8" s="1"/>
  <c r="U20" i="8" s="1"/>
  <c r="M20" i="8"/>
  <c r="F12" i="8"/>
  <c r="G12" i="8" s="1"/>
  <c r="U12" i="8" s="1"/>
  <c r="M12" i="8"/>
  <c r="O12" i="8" s="1"/>
  <c r="F4" i="8"/>
  <c r="G4" i="8" s="1"/>
  <c r="U4" i="8" s="1"/>
  <c r="V4" i="8" s="1"/>
  <c r="W4" i="8" s="1"/>
  <c r="M4" i="8"/>
  <c r="O4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O37" i="8" l="1"/>
  <c r="O5" i="8"/>
  <c r="V5" i="8"/>
  <c r="V37" i="8"/>
  <c r="V22" i="8"/>
  <c r="O31" i="8"/>
  <c r="V31" i="8" s="1"/>
  <c r="W31" i="8" s="1"/>
  <c r="O9" i="8"/>
  <c r="V9" i="8" s="1"/>
  <c r="W9" i="8" s="1"/>
  <c r="O41" i="8"/>
  <c r="V41" i="8" s="1"/>
  <c r="W41" i="8" s="1"/>
  <c r="V29" i="8"/>
  <c r="V14" i="8"/>
  <c r="W14" i="8" s="1"/>
  <c r="V46" i="8"/>
  <c r="W46" i="8" s="1"/>
  <c r="V55" i="8"/>
  <c r="W55" i="8" s="1"/>
  <c r="O20" i="8"/>
  <c r="V20" i="8" s="1"/>
  <c r="W20" i="8" s="1"/>
  <c r="O52" i="8"/>
  <c r="V52" i="8" s="1"/>
  <c r="W52" i="8" s="1"/>
  <c r="V26" i="8"/>
  <c r="W26" i="8" s="1"/>
  <c r="V58" i="8"/>
  <c r="W58" i="8" s="1"/>
  <c r="V19" i="8"/>
  <c r="W19" i="8" s="1"/>
  <c r="V51" i="8"/>
  <c r="V12" i="8"/>
  <c r="W12" i="8" s="1"/>
  <c r="V44" i="8"/>
  <c r="W44" i="8" s="1"/>
  <c r="O23" i="8"/>
  <c r="V23" i="8" s="1"/>
  <c r="W23" i="8" s="1"/>
  <c r="O24" i="8"/>
  <c r="V24" i="8" s="1"/>
  <c r="W24" i="8" s="1"/>
  <c r="O56" i="8"/>
  <c r="V56" i="8" s="1"/>
  <c r="W56" i="8" s="1"/>
  <c r="O33" i="8"/>
  <c r="V33" i="8" s="1"/>
  <c r="W33" i="8" s="1"/>
  <c r="O65" i="8"/>
  <c r="V65" i="8" s="1"/>
  <c r="O63" i="8"/>
  <c r="V63" i="8" s="1"/>
  <c r="O32" i="8"/>
  <c r="V32" i="8" s="1"/>
  <c r="W32" i="8" s="1"/>
  <c r="O34" i="8"/>
  <c r="V34" i="8" s="1"/>
  <c r="W34" i="8" s="1"/>
  <c r="O61" i="8"/>
  <c r="V61" i="8" s="1"/>
  <c r="O27" i="8"/>
  <c r="V27" i="8" s="1"/>
  <c r="W27" i="8" s="1"/>
  <c r="O59" i="8"/>
  <c r="V59" i="8" s="1"/>
  <c r="W59" i="8" s="1"/>
  <c r="O13" i="8"/>
  <c r="V13" i="8" s="1"/>
  <c r="W13" i="8" s="1"/>
  <c r="O53" i="8"/>
  <c r="V53" i="8" s="1"/>
  <c r="W53" i="8" s="1"/>
  <c r="O30" i="8"/>
  <c r="V30" i="8" s="1"/>
  <c r="W30" i="8" s="1"/>
  <c r="O7" i="8"/>
  <c r="V7" i="8" s="1"/>
  <c r="W7" i="8" s="1"/>
  <c r="O39" i="8"/>
  <c r="V39" i="8" s="1"/>
  <c r="W39" i="8" s="1"/>
  <c r="O8" i="8"/>
  <c r="V8" i="8" s="1"/>
  <c r="W8" i="8" s="1"/>
  <c r="O40" i="8"/>
  <c r="V40" i="8" s="1"/>
  <c r="W40" i="8" s="1"/>
  <c r="O17" i="8"/>
  <c r="V17" i="8" s="1"/>
  <c r="W17" i="8" s="1"/>
  <c r="O49" i="8"/>
  <c r="V49" i="8" s="1"/>
  <c r="W49" i="8" s="1"/>
  <c r="O10" i="8"/>
  <c r="V10" i="8" s="1"/>
  <c r="W10" i="8" s="1"/>
  <c r="O42" i="8"/>
  <c r="V42" i="8" s="1"/>
  <c r="W42" i="8" s="1"/>
  <c r="O35" i="8"/>
  <c r="V35" i="8" s="1"/>
  <c r="W35" i="8" s="1"/>
  <c r="O54" i="8"/>
  <c r="V54" i="8" s="1"/>
  <c r="W54" i="8" s="1"/>
  <c r="O45" i="8"/>
  <c r="V45" i="8" s="1"/>
  <c r="W45" i="8" s="1"/>
  <c r="O21" i="8"/>
  <c r="V21" i="8" s="1"/>
  <c r="W21" i="8" s="1"/>
  <c r="O6" i="8"/>
  <c r="V6" i="8" s="1"/>
  <c r="W6" i="8" s="1"/>
  <c r="O38" i="8"/>
  <c r="V38" i="8" s="1"/>
  <c r="W38" i="8" s="1"/>
  <c r="O15" i="8"/>
  <c r="V15" i="8" s="1"/>
  <c r="W15" i="8" s="1"/>
  <c r="O47" i="8"/>
  <c r="V47" i="8" s="1"/>
  <c r="W47" i="8" s="1"/>
  <c r="O16" i="8"/>
  <c r="V16" i="8" s="1"/>
  <c r="W16" i="8" s="1"/>
  <c r="O48" i="8"/>
  <c r="V48" i="8" s="1"/>
  <c r="W48" i="8" s="1"/>
  <c r="O25" i="8"/>
  <c r="V25" i="8" s="1"/>
  <c r="W25" i="8" s="1"/>
  <c r="O57" i="8"/>
  <c r="V57" i="8" s="1"/>
  <c r="W57" i="8" s="1"/>
  <c r="O18" i="8"/>
  <c r="V18" i="8" s="1"/>
  <c r="W18" i="8" s="1"/>
  <c r="O50" i="8"/>
  <c r="V50" i="8" s="1"/>
  <c r="W50" i="8" s="1"/>
  <c r="O11" i="8"/>
  <c r="V11" i="8" s="1"/>
  <c r="W11" i="8" s="1"/>
  <c r="O43" i="8"/>
  <c r="V43" i="8" s="1"/>
  <c r="W43" i="8" s="1"/>
  <c r="Q184" i="11"/>
  <c r="R184" i="11" s="1"/>
  <c r="W51" i="8"/>
  <c r="W37" i="8"/>
  <c r="H62" i="8"/>
  <c r="U62" i="8"/>
  <c r="V62" i="8" s="1"/>
  <c r="W62" i="8" s="1"/>
  <c r="W5" i="8"/>
  <c r="W22" i="8"/>
  <c r="H64" i="8"/>
  <c r="U64" i="8"/>
  <c r="V64" i="8" s="1"/>
  <c r="W64" i="8" s="1"/>
  <c r="V2" i="8"/>
  <c r="U2" i="8"/>
  <c r="H28" i="8"/>
  <c r="U28" i="8"/>
  <c r="V28" i="8" s="1"/>
  <c r="W28" i="8" s="1"/>
  <c r="H60" i="8"/>
  <c r="U60" i="8"/>
  <c r="V60" i="8" s="1"/>
  <c r="W60" i="8" s="1"/>
  <c r="H36" i="8"/>
  <c r="H4" i="8"/>
  <c r="H55" i="8"/>
  <c r="H12" i="8"/>
  <c r="H44" i="8"/>
  <c r="H29" i="8"/>
  <c r="H53" i="8"/>
  <c r="H14" i="8"/>
  <c r="H46" i="8"/>
  <c r="H23" i="8"/>
  <c r="H33" i="8"/>
  <c r="H65" i="8"/>
  <c r="H26" i="8"/>
  <c r="H58" i="8"/>
  <c r="H19" i="8"/>
  <c r="H51" i="8"/>
  <c r="H7" i="8"/>
  <c r="H39" i="8"/>
  <c r="H17" i="8"/>
  <c r="H49" i="8"/>
  <c r="H10" i="8"/>
  <c r="H42" i="8"/>
  <c r="H3" i="8"/>
  <c r="I3" i="8" s="1"/>
  <c r="H35" i="8"/>
  <c r="H30" i="8"/>
  <c r="H40" i="8"/>
  <c r="H54" i="8"/>
  <c r="H13" i="8"/>
  <c r="H8" i="8"/>
  <c r="H45" i="8"/>
  <c r="H21" i="8"/>
  <c r="H6" i="8"/>
  <c r="H38" i="8"/>
  <c r="H15" i="8"/>
  <c r="H47" i="8"/>
  <c r="H16" i="8"/>
  <c r="H48" i="8"/>
  <c r="H25" i="8"/>
  <c r="H57" i="8"/>
  <c r="H18" i="8"/>
  <c r="H50" i="8"/>
  <c r="H11" i="8"/>
  <c r="H43" i="8"/>
  <c r="H24" i="8"/>
  <c r="H56" i="8"/>
  <c r="H20" i="8"/>
  <c r="H52" i="8"/>
  <c r="H5" i="8"/>
  <c r="H37" i="8"/>
  <c r="H22" i="8"/>
  <c r="H31" i="8"/>
  <c r="H63" i="8"/>
  <c r="H32" i="8"/>
  <c r="H9" i="8"/>
  <c r="H41" i="8"/>
  <c r="H34" i="8"/>
  <c r="H61" i="8"/>
  <c r="H27" i="8"/>
  <c r="H59" i="8"/>
  <c r="O3" i="8"/>
  <c r="P3" i="8" s="1"/>
  <c r="P4" i="8" s="1"/>
  <c r="P5" i="8" s="1"/>
  <c r="P6" i="8" s="1"/>
  <c r="P7" i="8" s="1"/>
  <c r="P8" i="8" s="1"/>
  <c r="P9" i="8" s="1"/>
  <c r="P10" i="8" s="1"/>
  <c r="P11" i="8" s="1"/>
  <c r="P12" i="8" s="1"/>
  <c r="P13" i="8" s="1"/>
  <c r="P14" i="8" s="1"/>
  <c r="P15" i="8" s="1"/>
  <c r="P16" i="8" s="1"/>
  <c r="P17" i="8" s="1"/>
  <c r="P18" i="8" s="1"/>
  <c r="P19" i="8" s="1"/>
  <c r="P20" i="8" s="1"/>
  <c r="P21" i="8" s="1"/>
  <c r="P22" i="8" s="1"/>
  <c r="P23" i="8" s="1"/>
  <c r="P24" i="8" s="1"/>
  <c r="P25" i="8" s="1"/>
  <c r="P26" i="8" s="1"/>
  <c r="P27" i="8" s="1"/>
  <c r="P28" i="8" s="1"/>
  <c r="P29" i="8" s="1"/>
  <c r="P30" i="8" s="1"/>
  <c r="P31" i="8" s="1"/>
  <c r="P32" i="8" s="1"/>
  <c r="P33" i="8" s="1"/>
  <c r="P34" i="8" s="1"/>
  <c r="P35" i="8" s="1"/>
  <c r="P36" i="8" s="1"/>
  <c r="P37" i="8" s="1"/>
  <c r="P38" i="8" s="1"/>
  <c r="P39" i="8" s="1"/>
  <c r="P40" i="8" s="1"/>
  <c r="P41" i="8" s="1"/>
  <c r="P42" i="8" s="1"/>
  <c r="P43" i="8" s="1"/>
  <c r="P44" i="8" s="1"/>
  <c r="P45" i="8" s="1"/>
  <c r="P46" i="8" s="1"/>
  <c r="P47" i="8" s="1"/>
  <c r="P48" i="8" s="1"/>
  <c r="P49" i="8" s="1"/>
  <c r="P50" i="8" s="1"/>
  <c r="P51" i="8" s="1"/>
  <c r="P52" i="8" s="1"/>
  <c r="P53" i="8" s="1"/>
  <c r="P54" i="8" s="1"/>
  <c r="P55" i="8" s="1"/>
  <c r="P56" i="8" s="1"/>
  <c r="P57" i="8" s="1"/>
  <c r="P58" i="8" s="1"/>
  <c r="P59" i="8" s="1"/>
  <c r="P60" i="8" s="1"/>
  <c r="P61" i="8" s="1"/>
  <c r="P62" i="8" s="1"/>
  <c r="P63" i="8" s="1"/>
  <c r="P64" i="8" s="1"/>
  <c r="P65" i="8" s="1"/>
  <c r="L22" i="10"/>
  <c r="M22" i="10"/>
  <c r="K22" i="10"/>
  <c r="I47" i="7"/>
  <c r="H47" i="7"/>
  <c r="H49" i="7"/>
  <c r="M25" i="10"/>
  <c r="K25" i="10"/>
  <c r="K2" i="10"/>
  <c r="K4" i="10"/>
  <c r="K5" i="10" s="1"/>
  <c r="K6" i="10" s="1"/>
  <c r="K7" i="10" s="1"/>
  <c r="K8" i="10" s="1"/>
  <c r="K9" i="10" s="1"/>
  <c r="K10" i="10" s="1"/>
  <c r="K11" i="10" s="1"/>
  <c r="K12" i="10" s="1"/>
  <c r="K13" i="10" s="1"/>
  <c r="K14" i="10" s="1"/>
  <c r="K15" i="10" s="1"/>
  <c r="K16" i="10" s="1"/>
  <c r="K17" i="10" s="1"/>
  <c r="K18" i="10" s="1"/>
  <c r="K19" i="10" s="1"/>
  <c r="K20" i="10" s="1"/>
  <c r="K23" i="10" s="1"/>
  <c r="K3" i="10"/>
  <c r="I24" i="10"/>
  <c r="I22" i="10"/>
  <c r="H22" i="10"/>
  <c r="J20" i="10"/>
  <c r="G20" i="10"/>
  <c r="C20" i="10" s="1"/>
  <c r="J19" i="10"/>
  <c r="G19" i="10"/>
  <c r="C19" i="10" s="1"/>
  <c r="J18" i="10"/>
  <c r="G18" i="10"/>
  <c r="C18" i="10" s="1"/>
  <c r="J17" i="10"/>
  <c r="G17" i="10"/>
  <c r="C17" i="10" s="1"/>
  <c r="J16" i="10"/>
  <c r="G16" i="10"/>
  <c r="C16" i="10" s="1"/>
  <c r="J15" i="10"/>
  <c r="G15" i="10"/>
  <c r="C15" i="10" s="1"/>
  <c r="J14" i="10"/>
  <c r="G14" i="10"/>
  <c r="C14" i="10" s="1"/>
  <c r="J13" i="10"/>
  <c r="G13" i="10"/>
  <c r="C13" i="10" s="1"/>
  <c r="J12" i="10"/>
  <c r="G12" i="10"/>
  <c r="C12" i="10" s="1"/>
  <c r="J11" i="10"/>
  <c r="G11" i="10"/>
  <c r="C11" i="10" s="1"/>
  <c r="J10" i="10"/>
  <c r="G10" i="10"/>
  <c r="C10" i="10" s="1"/>
  <c r="J9" i="10"/>
  <c r="G9" i="10"/>
  <c r="C9" i="10" s="1"/>
  <c r="J8" i="10"/>
  <c r="G8" i="10"/>
  <c r="C8" i="10" s="1"/>
  <c r="J7" i="10"/>
  <c r="G7" i="10"/>
  <c r="C7" i="10" s="1"/>
  <c r="J6" i="10"/>
  <c r="G6" i="10"/>
  <c r="C6" i="10" s="1"/>
  <c r="J5" i="10"/>
  <c r="G5" i="10"/>
  <c r="C5" i="10" s="1"/>
  <c r="J4" i="10"/>
  <c r="G4" i="10"/>
  <c r="C4" i="10" s="1"/>
  <c r="J3" i="10"/>
  <c r="G3" i="10"/>
  <c r="C3" i="10" s="1"/>
  <c r="J2" i="10"/>
  <c r="G2" i="10"/>
  <c r="C2" i="10" s="1"/>
  <c r="D3" i="10" s="1"/>
  <c r="V3" i="8" l="1"/>
  <c r="W3" i="8" s="1"/>
  <c r="Q185" i="11"/>
  <c r="R185" i="11" s="1"/>
  <c r="W65" i="8"/>
  <c r="W61" i="8"/>
  <c r="I4" i="8"/>
  <c r="I5" i="8" s="1"/>
  <c r="I6" i="8" s="1"/>
  <c r="I7" i="8" s="1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48" i="8" s="1"/>
  <c r="I49" i="8" s="1"/>
  <c r="I50" i="8" s="1"/>
  <c r="I51" i="8" s="1"/>
  <c r="I52" i="8" s="1"/>
  <c r="I53" i="8" s="1"/>
  <c r="I54" i="8" s="1"/>
  <c r="I55" i="8" s="1"/>
  <c r="I56" i="8" s="1"/>
  <c r="I57" i="8" s="1"/>
  <c r="I58" i="8" s="1"/>
  <c r="I59" i="8" s="1"/>
  <c r="I60" i="8" s="1"/>
  <c r="I61" i="8" s="1"/>
  <c r="I62" i="8" s="1"/>
  <c r="I63" i="8" s="1"/>
  <c r="I64" i="8" s="1"/>
  <c r="I65" i="8" s="1"/>
  <c r="I67" i="8" s="1"/>
  <c r="I68" i="8" s="1"/>
  <c r="W29" i="8"/>
  <c r="W63" i="8"/>
  <c r="Q3" i="8"/>
  <c r="R3" i="8" s="1"/>
  <c r="M2" i="10"/>
  <c r="L2" i="10"/>
  <c r="E3" i="10"/>
  <c r="F3" i="10" s="1"/>
  <c r="D8" i="10"/>
  <c r="E8" i="10" s="1"/>
  <c r="F8" i="10" s="1"/>
  <c r="D16" i="10"/>
  <c r="E16" i="10" s="1"/>
  <c r="F16" i="10" s="1"/>
  <c r="D20" i="10"/>
  <c r="E20" i="10" s="1"/>
  <c r="F20" i="10" s="1"/>
  <c r="D7" i="10"/>
  <c r="E7" i="10" s="1"/>
  <c r="F7" i="10" s="1"/>
  <c r="D12" i="10"/>
  <c r="E12" i="10" s="1"/>
  <c r="F12" i="10" s="1"/>
  <c r="D19" i="10"/>
  <c r="E19" i="10" s="1"/>
  <c r="F19" i="10" s="1"/>
  <c r="D9" i="10"/>
  <c r="E9" i="10" s="1"/>
  <c r="F9" i="10" s="1"/>
  <c r="D6" i="10"/>
  <c r="E6" i="10" s="1"/>
  <c r="F6" i="10" s="1"/>
  <c r="D10" i="10"/>
  <c r="E10" i="10" s="1"/>
  <c r="F10" i="10" s="1"/>
  <c r="D15" i="10"/>
  <c r="E15" i="10" s="1"/>
  <c r="F15" i="10" s="1"/>
  <c r="D4" i="10"/>
  <c r="E4" i="10" s="1"/>
  <c r="F4" i="10" s="1"/>
  <c r="D5" i="10"/>
  <c r="E5" i="10" s="1"/>
  <c r="F5" i="10" s="1"/>
  <c r="D13" i="10"/>
  <c r="E13" i="10" s="1"/>
  <c r="F13" i="10" s="1"/>
  <c r="D17" i="10"/>
  <c r="E17" i="10" s="1"/>
  <c r="F17" i="10" s="1"/>
  <c r="D14" i="10"/>
  <c r="E14" i="10" s="1"/>
  <c r="F14" i="10" s="1"/>
  <c r="D18" i="10"/>
  <c r="E18" i="10" s="1"/>
  <c r="F18" i="10" s="1"/>
  <c r="D11" i="10"/>
  <c r="E11" i="10" s="1"/>
  <c r="F11" i="10" s="1"/>
  <c r="Q186" i="11" l="1"/>
  <c r="R186" i="11" s="1"/>
  <c r="X3" i="8"/>
  <c r="Q4" i="8"/>
  <c r="R4" i="8" s="1"/>
  <c r="L3" i="10"/>
  <c r="L4" i="10" s="1"/>
  <c r="L5" i="10" s="1"/>
  <c r="L6" i="10" s="1"/>
  <c r="L7" i="10" s="1"/>
  <c r="L8" i="10" s="1"/>
  <c r="L9" i="10" s="1"/>
  <c r="L10" i="10" s="1"/>
  <c r="L11" i="10" s="1"/>
  <c r="L12" i="10" s="1"/>
  <c r="L13" i="10" s="1"/>
  <c r="L14" i="10" s="1"/>
  <c r="L15" i="10" s="1"/>
  <c r="L16" i="10" s="1"/>
  <c r="L17" i="10" s="1"/>
  <c r="L18" i="10" s="1"/>
  <c r="L19" i="10" s="1"/>
  <c r="L20" i="10" s="1"/>
  <c r="L23" i="10" s="1"/>
  <c r="M3" i="10"/>
  <c r="M4" i="10" s="1"/>
  <c r="M5" i="10" s="1"/>
  <c r="M6" i="10" s="1"/>
  <c r="M7" i="10" s="1"/>
  <c r="M8" i="10" s="1"/>
  <c r="M9" i="10" s="1"/>
  <c r="M10" i="10" s="1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3" i="10" s="1"/>
  <c r="F22" i="10"/>
  <c r="Q187" i="11" l="1"/>
  <c r="R187" i="11" s="1"/>
  <c r="X4" i="8"/>
  <c r="Q5" i="8"/>
  <c r="R5" i="8" s="1"/>
  <c r="I49" i="7"/>
  <c r="J49" i="7" s="1"/>
  <c r="J45" i="7"/>
  <c r="G21" i="7"/>
  <c r="C21" i="7" s="1"/>
  <c r="J21" i="7"/>
  <c r="G22" i="7"/>
  <c r="C22" i="7" s="1"/>
  <c r="J22" i="7"/>
  <c r="G23" i="7"/>
  <c r="C23" i="7" s="1"/>
  <c r="J23" i="7"/>
  <c r="G24" i="7"/>
  <c r="C24" i="7" s="1"/>
  <c r="J24" i="7"/>
  <c r="C25" i="7"/>
  <c r="D26" i="7" s="1"/>
  <c r="G25" i="7"/>
  <c r="J25" i="7"/>
  <c r="G26" i="7"/>
  <c r="C26" i="7" s="1"/>
  <c r="J26" i="7"/>
  <c r="G27" i="7"/>
  <c r="C27" i="7" s="1"/>
  <c r="J27" i="7"/>
  <c r="G28" i="7"/>
  <c r="C28" i="7" s="1"/>
  <c r="J28" i="7"/>
  <c r="C29" i="7"/>
  <c r="D30" i="7" s="1"/>
  <c r="G29" i="7"/>
  <c r="J29" i="7"/>
  <c r="G30" i="7"/>
  <c r="C30" i="7" s="1"/>
  <c r="J30" i="7"/>
  <c r="G31" i="7"/>
  <c r="C31" i="7" s="1"/>
  <c r="J31" i="7"/>
  <c r="G32" i="7"/>
  <c r="C32" i="7" s="1"/>
  <c r="J32" i="7"/>
  <c r="C33" i="7"/>
  <c r="D34" i="7" s="1"/>
  <c r="G33" i="7"/>
  <c r="J33" i="7"/>
  <c r="G34" i="7"/>
  <c r="C34" i="7" s="1"/>
  <c r="J34" i="7"/>
  <c r="G35" i="7"/>
  <c r="C35" i="7" s="1"/>
  <c r="J35" i="7"/>
  <c r="G36" i="7"/>
  <c r="C36" i="7" s="1"/>
  <c r="J36" i="7"/>
  <c r="G37" i="7"/>
  <c r="C37" i="7" s="1"/>
  <c r="J37" i="7"/>
  <c r="G38" i="7"/>
  <c r="C38" i="7" s="1"/>
  <c r="J38" i="7"/>
  <c r="G39" i="7"/>
  <c r="C39" i="7" s="1"/>
  <c r="J39" i="7"/>
  <c r="G40" i="7"/>
  <c r="C40" i="7" s="1"/>
  <c r="J40" i="7"/>
  <c r="C41" i="7"/>
  <c r="G41" i="7"/>
  <c r="J41" i="7"/>
  <c r="G42" i="7"/>
  <c r="C42" i="7" s="1"/>
  <c r="J42" i="7"/>
  <c r="G43" i="7"/>
  <c r="C43" i="7" s="1"/>
  <c r="J43" i="7"/>
  <c r="G44" i="7"/>
  <c r="C44" i="7" s="1"/>
  <c r="D45" i="7" s="1"/>
  <c r="E45" i="7" s="1"/>
  <c r="F45" i="7" s="1"/>
  <c r="J44" i="7"/>
  <c r="Q188" i="11" l="1"/>
  <c r="R188" i="11" s="1"/>
  <c r="X5" i="8"/>
  <c r="Q6" i="8"/>
  <c r="R6" i="8" s="1"/>
  <c r="E34" i="7"/>
  <c r="F34" i="7" s="1"/>
  <c r="E26" i="7"/>
  <c r="F26" i="7" s="1"/>
  <c r="E30" i="7"/>
  <c r="F30" i="7" s="1"/>
  <c r="D24" i="7"/>
  <c r="E24" i="7" s="1"/>
  <c r="F24" i="7" s="1"/>
  <c r="D37" i="7"/>
  <c r="E37" i="7" s="1"/>
  <c r="F37" i="7" s="1"/>
  <c r="D44" i="7"/>
  <c r="E44" i="7" s="1"/>
  <c r="F44" i="7" s="1"/>
  <c r="D23" i="7"/>
  <c r="E23" i="7" s="1"/>
  <c r="F23" i="7" s="1"/>
  <c r="D36" i="7"/>
  <c r="E36" i="7" s="1"/>
  <c r="F36" i="7" s="1"/>
  <c r="D32" i="7"/>
  <c r="E32" i="7" s="1"/>
  <c r="F32" i="7" s="1"/>
  <c r="D22" i="7"/>
  <c r="E22" i="7" s="1"/>
  <c r="F22" i="7" s="1"/>
  <c r="D39" i="7"/>
  <c r="E39" i="7" s="1"/>
  <c r="F39" i="7" s="1"/>
  <c r="D31" i="7"/>
  <c r="E31" i="7" s="1"/>
  <c r="F31" i="7" s="1"/>
  <c r="D28" i="7"/>
  <c r="E28" i="7" s="1"/>
  <c r="F28" i="7" s="1"/>
  <c r="D25" i="7"/>
  <c r="E25" i="7" s="1"/>
  <c r="F25" i="7" s="1"/>
  <c r="D27" i="7"/>
  <c r="E27" i="7" s="1"/>
  <c r="F27" i="7" s="1"/>
  <c r="D41" i="7"/>
  <c r="E41" i="7" s="1"/>
  <c r="F41" i="7" s="1"/>
  <c r="D33" i="7"/>
  <c r="E33" i="7" s="1"/>
  <c r="F33" i="7" s="1"/>
  <c r="D40" i="7"/>
  <c r="E40" i="7" s="1"/>
  <c r="F40" i="7" s="1"/>
  <c r="D43" i="7"/>
  <c r="E43" i="7" s="1"/>
  <c r="F43" i="7" s="1"/>
  <c r="D29" i="7"/>
  <c r="E29" i="7" s="1"/>
  <c r="F29" i="7" s="1"/>
  <c r="D35" i="7"/>
  <c r="E35" i="7" s="1"/>
  <c r="F35" i="7" s="1"/>
  <c r="D38" i="7"/>
  <c r="E38" i="7" s="1"/>
  <c r="F38" i="7" s="1"/>
  <c r="D42" i="7"/>
  <c r="E42" i="7" s="1"/>
  <c r="F42" i="7" s="1"/>
  <c r="Q189" i="11" l="1"/>
  <c r="R189" i="11" s="1"/>
  <c r="X6" i="8"/>
  <c r="Q7" i="8"/>
  <c r="R7" i="8" s="1"/>
  <c r="J20" i="7"/>
  <c r="G20" i="7"/>
  <c r="C20" i="7" s="1"/>
  <c r="D21" i="7" s="1"/>
  <c r="E21" i="7" s="1"/>
  <c r="F21" i="7" s="1"/>
  <c r="J19" i="7"/>
  <c r="G19" i="7"/>
  <c r="C19" i="7" s="1"/>
  <c r="J18" i="7"/>
  <c r="G18" i="7"/>
  <c r="C18" i="7" s="1"/>
  <c r="J17" i="7"/>
  <c r="G17" i="7"/>
  <c r="C17" i="7" s="1"/>
  <c r="J16" i="7"/>
  <c r="G16" i="7"/>
  <c r="C16" i="7" s="1"/>
  <c r="J15" i="7"/>
  <c r="G15" i="7"/>
  <c r="C15" i="7" s="1"/>
  <c r="J14" i="7"/>
  <c r="G14" i="7"/>
  <c r="C14" i="7" s="1"/>
  <c r="J13" i="7"/>
  <c r="G13" i="7"/>
  <c r="C13" i="7" s="1"/>
  <c r="J12" i="7"/>
  <c r="G12" i="7"/>
  <c r="C12" i="7" s="1"/>
  <c r="J11" i="7"/>
  <c r="G11" i="7"/>
  <c r="C11" i="7" s="1"/>
  <c r="J10" i="7"/>
  <c r="G10" i="7"/>
  <c r="C10" i="7" s="1"/>
  <c r="J9" i="7"/>
  <c r="G9" i="7"/>
  <c r="C9" i="7" s="1"/>
  <c r="J8" i="7"/>
  <c r="G8" i="7"/>
  <c r="C8" i="7" s="1"/>
  <c r="J7" i="7"/>
  <c r="G7" i="7"/>
  <c r="C7" i="7" s="1"/>
  <c r="J6" i="7"/>
  <c r="G6" i="7"/>
  <c r="C6" i="7" s="1"/>
  <c r="J5" i="7"/>
  <c r="G5" i="7"/>
  <c r="C5" i="7" s="1"/>
  <c r="J4" i="7"/>
  <c r="G4" i="7"/>
  <c r="C4" i="7" s="1"/>
  <c r="J3" i="7"/>
  <c r="G3" i="7"/>
  <c r="C3" i="7" s="1"/>
  <c r="J2" i="7"/>
  <c r="G2" i="7"/>
  <c r="C2" i="7" s="1"/>
  <c r="D3" i="7" s="1"/>
  <c r="J8" i="3"/>
  <c r="Q190" i="11" l="1"/>
  <c r="R190" i="11" s="1"/>
  <c r="X7" i="8"/>
  <c r="Q8" i="8"/>
  <c r="R8" i="8" s="1"/>
  <c r="E3" i="7"/>
  <c r="D16" i="7"/>
  <c r="E16" i="7" s="1"/>
  <c r="F16" i="7" s="1"/>
  <c r="D13" i="7"/>
  <c r="E13" i="7" s="1"/>
  <c r="F13" i="7" s="1"/>
  <c r="D20" i="7"/>
  <c r="E20" i="7" s="1"/>
  <c r="F20" i="7" s="1"/>
  <c r="D4" i="7"/>
  <c r="E4" i="7" s="1"/>
  <c r="F4" i="7" s="1"/>
  <c r="F3" i="7"/>
  <c r="D9" i="7"/>
  <c r="E9" i="7" s="1"/>
  <c r="F9" i="7" s="1"/>
  <c r="D10" i="7"/>
  <c r="E10" i="7" s="1"/>
  <c r="F10" i="7" s="1"/>
  <c r="D14" i="7"/>
  <c r="E14" i="7" s="1"/>
  <c r="F14" i="7" s="1"/>
  <c r="D5" i="7"/>
  <c r="E5" i="7" s="1"/>
  <c r="F5" i="7" s="1"/>
  <c r="D18" i="7"/>
  <c r="E18" i="7" s="1"/>
  <c r="F18" i="7" s="1"/>
  <c r="D8" i="7"/>
  <c r="E8" i="7" s="1"/>
  <c r="F8" i="7" s="1"/>
  <c r="D6" i="7"/>
  <c r="E6" i="7" s="1"/>
  <c r="F6" i="7" s="1"/>
  <c r="D12" i="7"/>
  <c r="E12" i="7" s="1"/>
  <c r="F12" i="7" s="1"/>
  <c r="D17" i="7"/>
  <c r="E17" i="7" s="1"/>
  <c r="F17" i="7" s="1"/>
  <c r="D7" i="7"/>
  <c r="E7" i="7" s="1"/>
  <c r="F7" i="7" s="1"/>
  <c r="D11" i="7"/>
  <c r="E11" i="7" s="1"/>
  <c r="F11" i="7" s="1"/>
  <c r="D19" i="7"/>
  <c r="E19" i="7" s="1"/>
  <c r="F19" i="7" s="1"/>
  <c r="D15" i="7"/>
  <c r="E15" i="7" s="1"/>
  <c r="F15" i="7" s="1"/>
  <c r="Q191" i="11" l="1"/>
  <c r="R191" i="11" s="1"/>
  <c r="X8" i="8"/>
  <c r="Q9" i="8"/>
  <c r="R9" i="8" s="1"/>
  <c r="F47" i="7"/>
  <c r="I22" i="6"/>
  <c r="H12" i="4"/>
  <c r="H8" i="4" s="1"/>
  <c r="N9" i="4"/>
  <c r="N10" i="4"/>
  <c r="T5" i="4"/>
  <c r="T6" i="4"/>
  <c r="Q192" i="11" l="1"/>
  <c r="R192" i="11" s="1"/>
  <c r="X9" i="8"/>
  <c r="Q10" i="8"/>
  <c r="R10" i="8" s="1"/>
  <c r="I24" i="6"/>
  <c r="H10" i="4"/>
  <c r="O10" i="4" s="1"/>
  <c r="H9" i="4"/>
  <c r="O9" i="4" s="1"/>
  <c r="Q193" i="11" l="1"/>
  <c r="R193" i="11" s="1"/>
  <c r="X10" i="8"/>
  <c r="Q11" i="8"/>
  <c r="R11" i="8" s="1"/>
  <c r="J2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3" i="6"/>
  <c r="G3" i="6"/>
  <c r="C3" i="6" s="1"/>
  <c r="D4" i="6" s="1"/>
  <c r="G4" i="6"/>
  <c r="C4" i="6" s="1"/>
  <c r="D5" i="6" s="1"/>
  <c r="G5" i="6"/>
  <c r="C5" i="6" s="1"/>
  <c r="D6" i="6" s="1"/>
  <c r="G6" i="6"/>
  <c r="C6" i="6" s="1"/>
  <c r="D7" i="6" s="1"/>
  <c r="E7" i="6" s="1"/>
  <c r="G7" i="6"/>
  <c r="C7" i="6" s="1"/>
  <c r="D8" i="6" s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" i="6"/>
  <c r="Q194" i="11" l="1"/>
  <c r="R194" i="11" s="1"/>
  <c r="X11" i="8"/>
  <c r="Q12" i="8"/>
  <c r="R12" i="8" s="1"/>
  <c r="F7" i="6"/>
  <c r="E6" i="6"/>
  <c r="F6" i="6" s="1"/>
  <c r="E5" i="6"/>
  <c r="F5" i="6" s="1"/>
  <c r="E4" i="6"/>
  <c r="F4" i="6" s="1"/>
  <c r="C8" i="6"/>
  <c r="D9" i="6" s="1"/>
  <c r="E9" i="6" s="1"/>
  <c r="E8" i="6"/>
  <c r="S8" i="4"/>
  <c r="N8" i="4" s="1"/>
  <c r="O8" i="4" s="1"/>
  <c r="S4" i="4"/>
  <c r="T4" i="4" s="1"/>
  <c r="C2" i="3"/>
  <c r="Q195" i="11" l="1"/>
  <c r="R195" i="11" s="1"/>
  <c r="X12" i="8"/>
  <c r="Q13" i="8"/>
  <c r="R13" i="8" s="1"/>
  <c r="C9" i="6"/>
  <c r="D10" i="6" s="1"/>
  <c r="E10" i="6" s="1"/>
  <c r="F8" i="6"/>
  <c r="J2" i="3"/>
  <c r="J7" i="3"/>
  <c r="N11" i="3"/>
  <c r="Q196" i="11" l="1"/>
  <c r="R196" i="11" s="1"/>
  <c r="X13" i="8"/>
  <c r="Q14" i="8"/>
  <c r="R14" i="8" s="1"/>
  <c r="F9" i="6"/>
  <c r="C10" i="6"/>
  <c r="D11" i="6" s="1"/>
  <c r="E11" i="6" s="1"/>
  <c r="J4" i="3"/>
  <c r="N13" i="3"/>
  <c r="N14" i="3"/>
  <c r="N15" i="3"/>
  <c r="N12" i="3"/>
  <c r="F9" i="5"/>
  <c r="S96" i="5"/>
  <c r="R96" i="5"/>
  <c r="S95" i="5"/>
  <c r="R95" i="5"/>
  <c r="R94" i="5"/>
  <c r="S94" i="5" s="1"/>
  <c r="R93" i="5"/>
  <c r="S93" i="5" s="1"/>
  <c r="S92" i="5"/>
  <c r="R92" i="5"/>
  <c r="S91" i="5"/>
  <c r="R91" i="5"/>
  <c r="R90" i="5"/>
  <c r="S90" i="5" s="1"/>
  <c r="R89" i="5"/>
  <c r="S89" i="5" s="1"/>
  <c r="S88" i="5"/>
  <c r="R88" i="5"/>
  <c r="S87" i="5"/>
  <c r="R87" i="5"/>
  <c r="R86" i="5"/>
  <c r="S86" i="5" s="1"/>
  <c r="R85" i="5"/>
  <c r="S85" i="5" s="1"/>
  <c r="S84" i="5"/>
  <c r="R84" i="5"/>
  <c r="S83" i="5"/>
  <c r="R83" i="5"/>
  <c r="R82" i="5"/>
  <c r="S82" i="5" s="1"/>
  <c r="R81" i="5"/>
  <c r="S81" i="5" s="1"/>
  <c r="S80" i="5"/>
  <c r="R80" i="5"/>
  <c r="S79" i="5"/>
  <c r="R79" i="5"/>
  <c r="R78" i="5"/>
  <c r="S78" i="5" s="1"/>
  <c r="R77" i="5"/>
  <c r="S77" i="5" s="1"/>
  <c r="S76" i="5"/>
  <c r="R76" i="5"/>
  <c r="S75" i="5"/>
  <c r="R75" i="5"/>
  <c r="R74" i="5"/>
  <c r="S74" i="5" s="1"/>
  <c r="R73" i="5"/>
  <c r="S73" i="5" s="1"/>
  <c r="S72" i="5"/>
  <c r="R72" i="5"/>
  <c r="S71" i="5"/>
  <c r="R71" i="5"/>
  <c r="R70" i="5"/>
  <c r="S70" i="5" s="1"/>
  <c r="R69" i="5"/>
  <c r="S69" i="5" s="1"/>
  <c r="R68" i="5"/>
  <c r="S68" i="5" s="1"/>
  <c r="S67" i="5"/>
  <c r="R67" i="5"/>
  <c r="R66" i="5"/>
  <c r="S66" i="5" s="1"/>
  <c r="R65" i="5"/>
  <c r="S65" i="5" s="1"/>
  <c r="S64" i="5"/>
  <c r="R64" i="5"/>
  <c r="R63" i="5"/>
  <c r="S63" i="5" s="1"/>
  <c r="R62" i="5"/>
  <c r="S62" i="5" s="1"/>
  <c r="R61" i="5"/>
  <c r="S61" i="5" s="1"/>
  <c r="R60" i="5"/>
  <c r="S60" i="5" s="1"/>
  <c r="S59" i="5"/>
  <c r="R59" i="5"/>
  <c r="R58" i="5"/>
  <c r="S58" i="5" s="1"/>
  <c r="R57" i="5"/>
  <c r="R56" i="5"/>
  <c r="R55" i="5"/>
  <c r="R54" i="5"/>
  <c r="R53" i="5"/>
  <c r="R52" i="5"/>
  <c r="R51" i="5"/>
  <c r="R50" i="5"/>
  <c r="R49" i="5"/>
  <c r="R48" i="5"/>
  <c r="R47" i="5"/>
  <c r="R46" i="5"/>
  <c r="R45" i="5"/>
  <c r="R44" i="5"/>
  <c r="R43" i="5"/>
  <c r="R42" i="5"/>
  <c r="R41" i="5"/>
  <c r="R40" i="5"/>
  <c r="R38" i="5"/>
  <c r="S38" i="5" s="1"/>
  <c r="R37" i="5"/>
  <c r="S37" i="5" s="1"/>
  <c r="R36" i="5"/>
  <c r="S36" i="5" s="1"/>
  <c r="R35" i="5"/>
  <c r="R34" i="5"/>
  <c r="S34" i="5" s="1"/>
  <c r="R33" i="5"/>
  <c r="R32" i="5"/>
  <c r="S32" i="5" s="1"/>
  <c r="R31" i="5"/>
  <c r="S31" i="5" s="1"/>
  <c r="R30" i="5"/>
  <c r="R29" i="5"/>
  <c r="S29" i="5" s="1"/>
  <c r="R28" i="5"/>
  <c r="S28" i="5" s="1"/>
  <c r="R27" i="5"/>
  <c r="S27" i="5" s="1"/>
  <c r="R26" i="5"/>
  <c r="S26" i="5" s="1"/>
  <c r="R25" i="5"/>
  <c r="S25" i="5" s="1"/>
  <c r="R24" i="5"/>
  <c r="R23" i="5"/>
  <c r="R22" i="5"/>
  <c r="S22" i="5" s="1"/>
  <c r="R21" i="5"/>
  <c r="S21" i="5" s="1"/>
  <c r="R20" i="5"/>
  <c r="S20" i="5" s="1"/>
  <c r="R19" i="5"/>
  <c r="S19" i="5" s="1"/>
  <c r="R39" i="5"/>
  <c r="S39" i="5" s="1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6" i="5"/>
  <c r="T65" i="5"/>
  <c r="T64" i="5"/>
  <c r="T63" i="5"/>
  <c r="T62" i="5"/>
  <c r="T61" i="5"/>
  <c r="T60" i="5"/>
  <c r="T59" i="5"/>
  <c r="T58" i="5"/>
  <c r="E1" i="5"/>
  <c r="B1" i="5"/>
  <c r="S30" i="5" s="1"/>
  <c r="Q197" i="11" l="1"/>
  <c r="R197" i="11" s="1"/>
  <c r="X14" i="8"/>
  <c r="Q15" i="8"/>
  <c r="R15" i="8" s="1"/>
  <c r="F10" i="6"/>
  <c r="C11" i="6"/>
  <c r="D12" i="6" s="1"/>
  <c r="E12" i="6" s="1"/>
  <c r="S33" i="5"/>
  <c r="S45" i="5"/>
  <c r="S53" i="5"/>
  <c r="S46" i="5"/>
  <c r="S54" i="5"/>
  <c r="S24" i="5"/>
  <c r="S47" i="5"/>
  <c r="S55" i="5"/>
  <c r="T55" i="5" s="1"/>
  <c r="S35" i="5"/>
  <c r="S40" i="5"/>
  <c r="S48" i="5"/>
  <c r="T48" i="5" s="1"/>
  <c r="S56" i="5"/>
  <c r="S41" i="5"/>
  <c r="S49" i="5"/>
  <c r="S57" i="5"/>
  <c r="T57" i="5" s="1"/>
  <c r="S42" i="5"/>
  <c r="T42" i="5" s="1"/>
  <c r="S50" i="5"/>
  <c r="T50" i="5" s="1"/>
  <c r="S23" i="5"/>
  <c r="T23" i="5" s="1"/>
  <c r="S43" i="5"/>
  <c r="T43" i="5" s="1"/>
  <c r="S51" i="5"/>
  <c r="T51" i="5" s="1"/>
  <c r="S44" i="5"/>
  <c r="T44" i="5" s="1"/>
  <c r="S52" i="5"/>
  <c r="T52" i="5" s="1"/>
  <c r="T38" i="5"/>
  <c r="T54" i="5"/>
  <c r="T46" i="5"/>
  <c r="T33" i="5"/>
  <c r="T41" i="5"/>
  <c r="T49" i="5"/>
  <c r="T19" i="5"/>
  <c r="T22" i="5"/>
  <c r="T25" i="5"/>
  <c r="T20" i="5"/>
  <c r="T36" i="5"/>
  <c r="T30" i="5"/>
  <c r="T28" i="5"/>
  <c r="T31" i="5"/>
  <c r="T39" i="5"/>
  <c r="T47" i="5"/>
  <c r="T26" i="5"/>
  <c r="T34" i="5"/>
  <c r="T29" i="5"/>
  <c r="T37" i="5"/>
  <c r="T45" i="5"/>
  <c r="T53" i="5"/>
  <c r="T21" i="5"/>
  <c r="T24" i="5"/>
  <c r="T32" i="5"/>
  <c r="T40" i="5"/>
  <c r="T56" i="5"/>
  <c r="T27" i="5"/>
  <c r="T35" i="5"/>
  <c r="Q198" i="11" l="1"/>
  <c r="R198" i="11" s="1"/>
  <c r="X15" i="8"/>
  <c r="Q16" i="8"/>
  <c r="R16" i="8" s="1"/>
  <c r="F11" i="6"/>
  <c r="C12" i="6"/>
  <c r="D13" i="6" s="1"/>
  <c r="E13" i="6" s="1"/>
  <c r="C3" i="3"/>
  <c r="C4" i="3" s="1"/>
  <c r="C5" i="3" s="1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  <c r="C167" i="3" s="1"/>
  <c r="C168" i="3" s="1"/>
  <c r="C169" i="3" s="1"/>
  <c r="C170" i="3" s="1"/>
  <c r="C171" i="3" s="1"/>
  <c r="C172" i="3" s="1"/>
  <c r="C173" i="3" s="1"/>
  <c r="C174" i="3" s="1"/>
  <c r="C175" i="3" s="1"/>
  <c r="C176" i="3" s="1"/>
  <c r="C177" i="3" s="1"/>
  <c r="C178" i="3" s="1"/>
  <c r="C179" i="3" s="1"/>
  <c r="C180" i="3" s="1"/>
  <c r="C181" i="3" s="1"/>
  <c r="C182" i="3" s="1"/>
  <c r="C183" i="3" s="1"/>
  <c r="C184" i="3" s="1"/>
  <c r="C185" i="3" s="1"/>
  <c r="C186" i="3" s="1"/>
  <c r="C187" i="3" s="1"/>
  <c r="C188" i="3" s="1"/>
  <c r="C189" i="3" s="1"/>
  <c r="C190" i="3" s="1"/>
  <c r="C191" i="3" s="1"/>
  <c r="C192" i="3" s="1"/>
  <c r="C193" i="3" s="1"/>
  <c r="C194" i="3" s="1"/>
  <c r="C195" i="3" s="1"/>
  <c r="C196" i="3" s="1"/>
  <c r="C197" i="3" s="1"/>
  <c r="C198" i="3" s="1"/>
  <c r="C199" i="3" s="1"/>
  <c r="C200" i="3" s="1"/>
  <c r="C201" i="3" s="1"/>
  <c r="C202" i="3" s="1"/>
  <c r="C203" i="3" s="1"/>
  <c r="C204" i="3" s="1"/>
  <c r="C205" i="3" s="1"/>
  <c r="C206" i="3" s="1"/>
  <c r="C207" i="3" s="1"/>
  <c r="C208" i="3" s="1"/>
  <c r="C209" i="3" s="1"/>
  <c r="C210" i="3" s="1"/>
  <c r="C211" i="3" s="1"/>
  <c r="C212" i="3" s="1"/>
  <c r="C213" i="3" s="1"/>
  <c r="C214" i="3" s="1"/>
  <c r="C215" i="3" s="1"/>
  <c r="C216" i="3" s="1"/>
  <c r="C217" i="3" s="1"/>
  <c r="C218" i="3" s="1"/>
  <c r="C219" i="3" s="1"/>
  <c r="C220" i="3" s="1"/>
  <c r="C221" i="3" s="1"/>
  <c r="C222" i="3" s="1"/>
  <c r="C223" i="3" s="1"/>
  <c r="C224" i="3" s="1"/>
  <c r="C225" i="3" s="1"/>
  <c r="C226" i="3" s="1"/>
  <c r="C227" i="3" s="1"/>
  <c r="C228" i="3" s="1"/>
  <c r="C229" i="3" s="1"/>
  <c r="C230" i="3" s="1"/>
  <c r="C231" i="3" s="1"/>
  <c r="C232" i="3" s="1"/>
  <c r="C233" i="3" s="1"/>
  <c r="C234" i="3" s="1"/>
  <c r="C235" i="3" s="1"/>
  <c r="C236" i="3" s="1"/>
  <c r="C237" i="3" s="1"/>
  <c r="C238" i="3" s="1"/>
  <c r="C239" i="3" s="1"/>
  <c r="C240" i="3" s="1"/>
  <c r="C241" i="3" s="1"/>
  <c r="C242" i="3" s="1"/>
  <c r="C243" i="3" s="1"/>
  <c r="C244" i="3" s="1"/>
  <c r="C245" i="3" s="1"/>
  <c r="C246" i="3" s="1"/>
  <c r="C247" i="3" s="1"/>
  <c r="C248" i="3" s="1"/>
  <c r="C249" i="3" s="1"/>
  <c r="C250" i="3" s="1"/>
  <c r="C251" i="3" s="1"/>
  <c r="C252" i="3" s="1"/>
  <c r="C253" i="3" s="1"/>
  <c r="C254" i="3" s="1"/>
  <c r="C255" i="3" s="1"/>
  <c r="C256" i="3" s="1"/>
  <c r="C257" i="3" s="1"/>
  <c r="C258" i="3" s="1"/>
  <c r="C259" i="3" s="1"/>
  <c r="C260" i="3" s="1"/>
  <c r="C261" i="3" s="1"/>
  <c r="C262" i="3" s="1"/>
  <c r="C263" i="3" s="1"/>
  <c r="C264" i="3" s="1"/>
  <c r="C265" i="3" s="1"/>
  <c r="C266" i="3" s="1"/>
  <c r="C267" i="3" s="1"/>
  <c r="C268" i="3" s="1"/>
  <c r="C269" i="3" s="1"/>
  <c r="C270" i="3" s="1"/>
  <c r="C271" i="3" s="1"/>
  <c r="C272" i="3" s="1"/>
  <c r="C273" i="3" s="1"/>
  <c r="D46" i="3"/>
  <c r="D6" i="3"/>
  <c r="E2" i="3"/>
  <c r="E3" i="3" s="1"/>
  <c r="Q199" i="11" l="1"/>
  <c r="R199" i="11" s="1"/>
  <c r="X16" i="8"/>
  <c r="Q17" i="8"/>
  <c r="R17" i="8" s="1"/>
  <c r="F12" i="6"/>
  <c r="C13" i="6"/>
  <c r="D14" i="6" s="1"/>
  <c r="E14" i="6" s="1"/>
  <c r="F3" i="3"/>
  <c r="E4" i="3"/>
  <c r="E5" i="3" s="1"/>
  <c r="F4" i="3"/>
  <c r="F5" i="3" s="1"/>
  <c r="F6" i="3" s="1"/>
  <c r="E6" i="3"/>
  <c r="Q200" i="11" l="1"/>
  <c r="R200" i="11" s="1"/>
  <c r="X17" i="8"/>
  <c r="Q18" i="8"/>
  <c r="R18" i="8" s="1"/>
  <c r="F13" i="6"/>
  <c r="C14" i="6"/>
  <c r="D15" i="6" s="1"/>
  <c r="E15" i="6" s="1"/>
  <c r="E7" i="3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F7" i="3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B4" i="3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A3" i="3"/>
  <c r="B3" i="3"/>
  <c r="Q201" i="11" l="1"/>
  <c r="R201" i="11" s="1"/>
  <c r="X18" i="8"/>
  <c r="Q19" i="8"/>
  <c r="R19" i="8" s="1"/>
  <c r="C15" i="6"/>
  <c r="D16" i="6" s="1"/>
  <c r="E16" i="6" s="1"/>
  <c r="F14" i="6"/>
  <c r="B75" i="3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D74" i="3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E90" i="3" s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E104" i="3" s="1"/>
  <c r="E105" i="3" s="1"/>
  <c r="F8" i="3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F69" i="3" s="1"/>
  <c r="F70" i="3" s="1"/>
  <c r="F71" i="3" s="1"/>
  <c r="F72" i="3" s="1"/>
  <c r="F73" i="3" s="1"/>
  <c r="F74" i="3" s="1"/>
  <c r="Q202" i="11" l="1"/>
  <c r="R202" i="11" s="1"/>
  <c r="X19" i="8"/>
  <c r="Q20" i="8"/>
  <c r="R20" i="8" s="1"/>
  <c r="F15" i="6"/>
  <c r="C16" i="6"/>
  <c r="D17" i="6" s="1"/>
  <c r="E17" i="6" s="1"/>
  <c r="D106" i="3"/>
  <c r="E106" i="3" s="1"/>
  <c r="E107" i="3" s="1"/>
  <c r="E108" i="3" s="1"/>
  <c r="E109" i="3" s="1"/>
  <c r="E110" i="3" s="1"/>
  <c r="E111" i="3" s="1"/>
  <c r="E112" i="3" s="1"/>
  <c r="E113" i="3" s="1"/>
  <c r="E114" i="3" s="1"/>
  <c r="E115" i="3" s="1"/>
  <c r="E116" i="3" s="1"/>
  <c r="E117" i="3" s="1"/>
  <c r="E118" i="3" s="1"/>
  <c r="E119" i="3" s="1"/>
  <c r="E120" i="3" s="1"/>
  <c r="E121" i="3" s="1"/>
  <c r="E122" i="3" s="1"/>
  <c r="E123" i="3" s="1"/>
  <c r="E124" i="3" s="1"/>
  <c r="E125" i="3" s="1"/>
  <c r="E126" i="3" s="1"/>
  <c r="E127" i="3" s="1"/>
  <c r="E128" i="3" s="1"/>
  <c r="E129" i="3" s="1"/>
  <c r="E130" i="3" s="1"/>
  <c r="E131" i="3" s="1"/>
  <c r="E132" i="3" s="1"/>
  <c r="E133" i="3" s="1"/>
  <c r="E134" i="3" s="1"/>
  <c r="F75" i="3"/>
  <c r="F76" i="3" s="1"/>
  <c r="F77" i="3" s="1"/>
  <c r="F78" i="3" s="1"/>
  <c r="F79" i="3" s="1"/>
  <c r="F80" i="3" s="1"/>
  <c r="F81" i="3" s="1"/>
  <c r="F82" i="3" s="1"/>
  <c r="F83" i="3" s="1"/>
  <c r="F84" i="3" s="1"/>
  <c r="F85" i="3" s="1"/>
  <c r="F86" i="3" s="1"/>
  <c r="F87" i="3" s="1"/>
  <c r="F88" i="3" s="1"/>
  <c r="F89" i="3" s="1"/>
  <c r="F90" i="3" s="1"/>
  <c r="F91" i="3" s="1"/>
  <c r="F92" i="3" s="1"/>
  <c r="F93" i="3" s="1"/>
  <c r="F94" i="3" s="1"/>
  <c r="F95" i="3" s="1"/>
  <c r="F96" i="3" s="1"/>
  <c r="F97" i="3" s="1"/>
  <c r="F98" i="3" s="1"/>
  <c r="F99" i="3" s="1"/>
  <c r="F100" i="3" s="1"/>
  <c r="F101" i="3" s="1"/>
  <c r="F102" i="3" s="1"/>
  <c r="F103" i="3" s="1"/>
  <c r="F104" i="3" s="1"/>
  <c r="F105" i="3" s="1"/>
  <c r="F106" i="3" s="1"/>
  <c r="B136" i="3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D135" i="3"/>
  <c r="Q203" i="11" l="1"/>
  <c r="R203" i="11" s="1"/>
  <c r="X20" i="8"/>
  <c r="Q21" i="8"/>
  <c r="R21" i="8" s="1"/>
  <c r="F16" i="6"/>
  <c r="C17" i="6"/>
  <c r="D18" i="6" s="1"/>
  <c r="E18" i="6" s="1"/>
  <c r="F107" i="3"/>
  <c r="F108" i="3" s="1"/>
  <c r="F109" i="3" s="1"/>
  <c r="F110" i="3" s="1"/>
  <c r="F111" i="3" s="1"/>
  <c r="F112" i="3" s="1"/>
  <c r="F113" i="3" s="1"/>
  <c r="F114" i="3" s="1"/>
  <c r="F115" i="3" s="1"/>
  <c r="F116" i="3" s="1"/>
  <c r="F117" i="3" s="1"/>
  <c r="F118" i="3" s="1"/>
  <c r="F119" i="3" s="1"/>
  <c r="F120" i="3" s="1"/>
  <c r="F121" i="3" s="1"/>
  <c r="F122" i="3" s="1"/>
  <c r="F123" i="3" s="1"/>
  <c r="F124" i="3" s="1"/>
  <c r="F125" i="3" s="1"/>
  <c r="F126" i="3" s="1"/>
  <c r="F127" i="3" s="1"/>
  <c r="F128" i="3" s="1"/>
  <c r="F129" i="3" s="1"/>
  <c r="F130" i="3" s="1"/>
  <c r="F131" i="3" s="1"/>
  <c r="F132" i="3" s="1"/>
  <c r="F133" i="3" s="1"/>
  <c r="F134" i="3" s="1"/>
  <c r="F135" i="3" s="1"/>
  <c r="E135" i="3"/>
  <c r="B171" i="3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D170" i="3"/>
  <c r="Q204" i="11" l="1"/>
  <c r="R204" i="11" s="1"/>
  <c r="X21" i="8"/>
  <c r="Q22" i="8"/>
  <c r="R22" i="8" s="1"/>
  <c r="C18" i="6"/>
  <c r="D19" i="6" s="1"/>
  <c r="E19" i="6" s="1"/>
  <c r="F17" i="6"/>
  <c r="F136" i="3"/>
  <c r="E136" i="3"/>
  <c r="E137" i="3" s="1"/>
  <c r="E138" i="3" s="1"/>
  <c r="E139" i="3" s="1"/>
  <c r="E140" i="3" s="1"/>
  <c r="E141" i="3" s="1"/>
  <c r="E142" i="3" s="1"/>
  <c r="E143" i="3" s="1"/>
  <c r="E144" i="3" s="1"/>
  <c r="E145" i="3" s="1"/>
  <c r="E146" i="3" s="1"/>
  <c r="E147" i="3" s="1"/>
  <c r="E148" i="3" s="1"/>
  <c r="E149" i="3" s="1"/>
  <c r="E150" i="3" s="1"/>
  <c r="E151" i="3" s="1"/>
  <c r="E152" i="3" s="1"/>
  <c r="E153" i="3" s="1"/>
  <c r="E154" i="3" s="1"/>
  <c r="E155" i="3" s="1"/>
  <c r="E156" i="3" s="1"/>
  <c r="E157" i="3" s="1"/>
  <c r="E158" i="3" s="1"/>
  <c r="E159" i="3" s="1"/>
  <c r="E160" i="3" s="1"/>
  <c r="E161" i="3" s="1"/>
  <c r="E162" i="3" s="1"/>
  <c r="E163" i="3" s="1"/>
  <c r="E164" i="3" s="1"/>
  <c r="E165" i="3" s="1"/>
  <c r="E166" i="3" s="1"/>
  <c r="E167" i="3" s="1"/>
  <c r="E168" i="3" s="1"/>
  <c r="E169" i="3" s="1"/>
  <c r="E170" i="3" s="1"/>
  <c r="B205" i="3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D204" i="3"/>
  <c r="Q205" i="11" l="1"/>
  <c r="R205" i="11" s="1"/>
  <c r="X22" i="8"/>
  <c r="Q23" i="8"/>
  <c r="R23" i="8" s="1"/>
  <c r="C19" i="6"/>
  <c r="D20" i="6" s="1"/>
  <c r="E20" i="6" s="1"/>
  <c r="F18" i="6"/>
  <c r="F137" i="3"/>
  <c r="F138" i="3" s="1"/>
  <c r="F139" i="3" s="1"/>
  <c r="F140" i="3" s="1"/>
  <c r="F141" i="3" s="1"/>
  <c r="F142" i="3" s="1"/>
  <c r="F143" i="3" s="1"/>
  <c r="F144" i="3" s="1"/>
  <c r="F145" i="3" s="1"/>
  <c r="F146" i="3" s="1"/>
  <c r="F147" i="3" s="1"/>
  <c r="F148" i="3" s="1"/>
  <c r="E171" i="3"/>
  <c r="E172" i="3" s="1"/>
  <c r="E173" i="3" s="1"/>
  <c r="E174" i="3" s="1"/>
  <c r="E175" i="3" s="1"/>
  <c r="E176" i="3" s="1"/>
  <c r="E177" i="3" s="1"/>
  <c r="E178" i="3" s="1"/>
  <c r="E179" i="3" s="1"/>
  <c r="E180" i="3" s="1"/>
  <c r="E181" i="3" s="1"/>
  <c r="E182" i="3" s="1"/>
  <c r="E183" i="3" s="1"/>
  <c r="E184" i="3" s="1"/>
  <c r="E185" i="3" s="1"/>
  <c r="E186" i="3" s="1"/>
  <c r="E187" i="3" s="1"/>
  <c r="E188" i="3" s="1"/>
  <c r="E189" i="3" s="1"/>
  <c r="E190" i="3" s="1"/>
  <c r="E191" i="3" s="1"/>
  <c r="E192" i="3" s="1"/>
  <c r="E193" i="3" s="1"/>
  <c r="E194" i="3" s="1"/>
  <c r="E195" i="3" s="1"/>
  <c r="E196" i="3" s="1"/>
  <c r="E197" i="3" s="1"/>
  <c r="E198" i="3" s="1"/>
  <c r="E199" i="3" s="1"/>
  <c r="E200" i="3" s="1"/>
  <c r="E201" i="3" s="1"/>
  <c r="E202" i="3" s="1"/>
  <c r="E203" i="3" s="1"/>
  <c r="E204" i="3" s="1"/>
  <c r="E205" i="3" s="1"/>
  <c r="E206" i="3" s="1"/>
  <c r="E207" i="3" s="1"/>
  <c r="E208" i="3" s="1"/>
  <c r="E209" i="3" s="1"/>
  <c r="E210" i="3" s="1"/>
  <c r="E211" i="3" s="1"/>
  <c r="E212" i="3" s="1"/>
  <c r="E213" i="3" s="1"/>
  <c r="E214" i="3" s="1"/>
  <c r="E215" i="3" s="1"/>
  <c r="E216" i="3" s="1"/>
  <c r="E217" i="3" s="1"/>
  <c r="E218" i="3" s="1"/>
  <c r="E219" i="3" s="1"/>
  <c r="E220" i="3" s="1"/>
  <c r="E221" i="3" s="1"/>
  <c r="E222" i="3" s="1"/>
  <c r="E223" i="3" s="1"/>
  <c r="E224" i="3" s="1"/>
  <c r="E225" i="3" s="1"/>
  <c r="E226" i="3" s="1"/>
  <c r="E227" i="3" s="1"/>
  <c r="B229" i="3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D228" i="3"/>
  <c r="Q206" i="11" l="1"/>
  <c r="R206" i="11" s="1"/>
  <c r="X23" i="8"/>
  <c r="Q24" i="8"/>
  <c r="R24" i="8" s="1"/>
  <c r="H22" i="6"/>
  <c r="C20" i="6"/>
  <c r="F20" i="6" s="1"/>
  <c r="F19" i="6"/>
  <c r="F149" i="3"/>
  <c r="F150" i="3" s="1"/>
  <c r="F151" i="3" s="1"/>
  <c r="F152" i="3" s="1"/>
  <c r="F153" i="3" s="1"/>
  <c r="F154" i="3" s="1"/>
  <c r="F155" i="3" s="1"/>
  <c r="F156" i="3" s="1"/>
  <c r="F157" i="3" s="1"/>
  <c r="F158" i="3" s="1"/>
  <c r="F159" i="3" s="1"/>
  <c r="F160" i="3" s="1"/>
  <c r="F161" i="3" s="1"/>
  <c r="F162" i="3" s="1"/>
  <c r="F163" i="3" s="1"/>
  <c r="F164" i="3" s="1"/>
  <c r="F165" i="3" s="1"/>
  <c r="F166" i="3" s="1"/>
  <c r="F167" i="3" s="1"/>
  <c r="F168" i="3" s="1"/>
  <c r="F169" i="3" s="1"/>
  <c r="F170" i="3" s="1"/>
  <c r="F171" i="3" s="1"/>
  <c r="F172" i="3" s="1"/>
  <c r="F173" i="3" s="1"/>
  <c r="F174" i="3" s="1"/>
  <c r="F175" i="3" s="1"/>
  <c r="F176" i="3" s="1"/>
  <c r="F177" i="3" s="1"/>
  <c r="F178" i="3" s="1"/>
  <c r="F179" i="3" s="1"/>
  <c r="F180" i="3" s="1"/>
  <c r="F181" i="3" s="1"/>
  <c r="F182" i="3" s="1"/>
  <c r="F183" i="3" s="1"/>
  <c r="F184" i="3" s="1"/>
  <c r="F185" i="3" s="1"/>
  <c r="F186" i="3" s="1"/>
  <c r="F187" i="3" s="1"/>
  <c r="F188" i="3" s="1"/>
  <c r="F189" i="3" s="1"/>
  <c r="F190" i="3" s="1"/>
  <c r="F191" i="3" s="1"/>
  <c r="F192" i="3" s="1"/>
  <c r="F193" i="3" s="1"/>
  <c r="F194" i="3" s="1"/>
  <c r="F195" i="3" s="1"/>
  <c r="F196" i="3" s="1"/>
  <c r="F197" i="3" s="1"/>
  <c r="F198" i="3" s="1"/>
  <c r="F199" i="3" s="1"/>
  <c r="F200" i="3" s="1"/>
  <c r="F201" i="3" s="1"/>
  <c r="F202" i="3" s="1"/>
  <c r="F203" i="3" s="1"/>
  <c r="F204" i="3" s="1"/>
  <c r="F205" i="3" s="1"/>
  <c r="F206" i="3" s="1"/>
  <c r="F207" i="3" s="1"/>
  <c r="F208" i="3" s="1"/>
  <c r="F209" i="3" s="1"/>
  <c r="F210" i="3" s="1"/>
  <c r="F211" i="3" s="1"/>
  <c r="F212" i="3" s="1"/>
  <c r="F213" i="3" s="1"/>
  <c r="F214" i="3" s="1"/>
  <c r="F215" i="3" s="1"/>
  <c r="F216" i="3" s="1"/>
  <c r="F217" i="3" s="1"/>
  <c r="F218" i="3" s="1"/>
  <c r="F219" i="3" s="1"/>
  <c r="F220" i="3" s="1"/>
  <c r="F221" i="3" s="1"/>
  <c r="F222" i="3" s="1"/>
  <c r="F223" i="3" s="1"/>
  <c r="F224" i="3" s="1"/>
  <c r="F225" i="3" s="1"/>
  <c r="F226" i="3" s="1"/>
  <c r="F227" i="3" s="1"/>
  <c r="F228" i="3" s="1"/>
  <c r="E228" i="3"/>
  <c r="B257" i="3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D256" i="3"/>
  <c r="Q207" i="11" l="1"/>
  <c r="R207" i="11" s="1"/>
  <c r="X24" i="8"/>
  <c r="Q25" i="8"/>
  <c r="R25" i="8" s="1"/>
  <c r="F229" i="3"/>
  <c r="E229" i="3"/>
  <c r="E230" i="3" s="1"/>
  <c r="E231" i="3" s="1"/>
  <c r="E232" i="3" s="1"/>
  <c r="E233" i="3" s="1"/>
  <c r="E234" i="3" s="1"/>
  <c r="E235" i="3" s="1"/>
  <c r="E236" i="3" s="1"/>
  <c r="E237" i="3" s="1"/>
  <c r="E238" i="3" s="1"/>
  <c r="E239" i="3" s="1"/>
  <c r="E240" i="3" s="1"/>
  <c r="E241" i="3" s="1"/>
  <c r="E242" i="3" s="1"/>
  <c r="E243" i="3" s="1"/>
  <c r="E244" i="3" s="1"/>
  <c r="E245" i="3" s="1"/>
  <c r="E246" i="3" s="1"/>
  <c r="E247" i="3" s="1"/>
  <c r="E248" i="3" s="1"/>
  <c r="E249" i="3" s="1"/>
  <c r="E250" i="3" s="1"/>
  <c r="E251" i="3" s="1"/>
  <c r="E252" i="3" s="1"/>
  <c r="E253" i="3" s="1"/>
  <c r="E254" i="3" s="1"/>
  <c r="E255" i="3" s="1"/>
  <c r="E256" i="3" s="1"/>
  <c r="Q208" i="11" l="1"/>
  <c r="R208" i="11" s="1"/>
  <c r="X25" i="8"/>
  <c r="Q26" i="8"/>
  <c r="R26" i="8" s="1"/>
  <c r="F230" i="3"/>
  <c r="F231" i="3" s="1"/>
  <c r="F232" i="3" s="1"/>
  <c r="F233" i="3" s="1"/>
  <c r="F234" i="3" s="1"/>
  <c r="F235" i="3" s="1"/>
  <c r="F236" i="3" s="1"/>
  <c r="F237" i="3" s="1"/>
  <c r="F238" i="3" s="1"/>
  <c r="F239" i="3" s="1"/>
  <c r="F240" i="3" s="1"/>
  <c r="F241" i="3" s="1"/>
  <c r="F242" i="3" s="1"/>
  <c r="F243" i="3" s="1"/>
  <c r="F244" i="3" s="1"/>
  <c r="F245" i="3" s="1"/>
  <c r="F246" i="3" s="1"/>
  <c r="F247" i="3" s="1"/>
  <c r="F248" i="3" s="1"/>
  <c r="F249" i="3" s="1"/>
  <c r="F250" i="3" s="1"/>
  <c r="F251" i="3" s="1"/>
  <c r="F252" i="3" s="1"/>
  <c r="F253" i="3" s="1"/>
  <c r="F254" i="3" s="1"/>
  <c r="F255" i="3" s="1"/>
  <c r="F256" i="3" s="1"/>
  <c r="F257" i="3" s="1"/>
  <c r="J6" i="3" a="1"/>
  <c r="J6" i="3" s="1"/>
  <c r="E257" i="3"/>
  <c r="E258" i="3" s="1"/>
  <c r="E259" i="3" s="1"/>
  <c r="E260" i="3" s="1"/>
  <c r="E261" i="3" s="1"/>
  <c r="E262" i="3" s="1"/>
  <c r="E263" i="3" s="1"/>
  <c r="E264" i="3" s="1"/>
  <c r="E265" i="3" s="1"/>
  <c r="E266" i="3" s="1"/>
  <c r="E267" i="3" s="1"/>
  <c r="E268" i="3" s="1"/>
  <c r="E269" i="3" s="1"/>
  <c r="E270" i="3" s="1"/>
  <c r="E271" i="3" s="1"/>
  <c r="E272" i="3" s="1"/>
  <c r="E273" i="3" s="1"/>
  <c r="Q209" i="11" l="1"/>
  <c r="R209" i="11" s="1"/>
  <c r="X26" i="8"/>
  <c r="Q27" i="8"/>
  <c r="R27" i="8" s="1"/>
  <c r="F258" i="3"/>
  <c r="F259" i="3" s="1"/>
  <c r="F260" i="3" s="1"/>
  <c r="F261" i="3" s="1"/>
  <c r="F262" i="3" s="1"/>
  <c r="F263" i="3" s="1"/>
  <c r="F264" i="3" s="1"/>
  <c r="F265" i="3" s="1"/>
  <c r="F266" i="3" s="1"/>
  <c r="F267" i="3" s="1"/>
  <c r="F268" i="3" s="1"/>
  <c r="F269" i="3" s="1"/>
  <c r="F270" i="3" s="1"/>
  <c r="F271" i="3" s="1"/>
  <c r="F272" i="3" s="1"/>
  <c r="F273" i="3" s="1"/>
  <c r="Q210" i="11" l="1"/>
  <c r="R210" i="11" s="1"/>
  <c r="X27" i="8"/>
  <c r="Q28" i="8"/>
  <c r="R28" i="8" s="1"/>
  <c r="J3" i="3"/>
  <c r="J5" i="3" s="1"/>
  <c r="C2" i="6"/>
  <c r="D3" i="6" s="1"/>
  <c r="E3" i="6" s="1"/>
  <c r="F3" i="6" s="1"/>
  <c r="F22" i="6" s="1"/>
  <c r="Q211" i="11" l="1"/>
  <c r="R211" i="11" s="1"/>
  <c r="X28" i="8"/>
  <c r="Q29" i="8"/>
  <c r="R29" i="8" s="1"/>
  <c r="Q212" i="11" l="1"/>
  <c r="R212" i="11" s="1"/>
  <c r="X29" i="8"/>
  <c r="Q30" i="8"/>
  <c r="R30" i="8" s="1"/>
  <c r="Q213" i="11" l="1"/>
  <c r="R213" i="11" s="1"/>
  <c r="X30" i="8"/>
  <c r="Q31" i="8"/>
  <c r="R31" i="8" s="1"/>
  <c r="J3" i="8"/>
  <c r="Q214" i="11" l="1"/>
  <c r="R214" i="11" s="1"/>
  <c r="X31" i="8"/>
  <c r="Q32" i="8"/>
  <c r="R32" i="8" s="1"/>
  <c r="J4" i="8"/>
  <c r="Q215" i="11" l="1"/>
  <c r="R215" i="11" s="1"/>
  <c r="X32" i="8"/>
  <c r="Q33" i="8"/>
  <c r="R33" i="8" s="1"/>
  <c r="J5" i="8"/>
  <c r="Q216" i="11" l="1"/>
  <c r="R216" i="11" s="1"/>
  <c r="X33" i="8"/>
  <c r="Q34" i="8"/>
  <c r="R34" i="8" s="1"/>
  <c r="J6" i="8"/>
  <c r="Q217" i="11" l="1"/>
  <c r="R217" i="11" s="1"/>
  <c r="X34" i="8"/>
  <c r="Q35" i="8"/>
  <c r="R35" i="8" s="1"/>
  <c r="J7" i="8"/>
  <c r="Q218" i="11" l="1"/>
  <c r="R218" i="11" s="1"/>
  <c r="X35" i="8"/>
  <c r="Q36" i="8"/>
  <c r="R36" i="8" s="1"/>
  <c r="J8" i="8"/>
  <c r="Q219" i="11" l="1"/>
  <c r="R219" i="11" s="1"/>
  <c r="X36" i="8"/>
  <c r="Q37" i="8"/>
  <c r="R37" i="8" s="1"/>
  <c r="J9" i="8"/>
  <c r="Q220" i="11" l="1"/>
  <c r="R220" i="11" s="1"/>
  <c r="X37" i="8"/>
  <c r="Q38" i="8"/>
  <c r="R38" i="8" s="1"/>
  <c r="J10" i="8"/>
  <c r="Q221" i="11" l="1"/>
  <c r="R221" i="11" s="1"/>
  <c r="X38" i="8"/>
  <c r="Q39" i="8"/>
  <c r="R39" i="8" s="1"/>
  <c r="J11" i="8"/>
  <c r="Q222" i="11" l="1"/>
  <c r="R222" i="11" s="1"/>
  <c r="X39" i="8"/>
  <c r="Q40" i="8"/>
  <c r="R40" i="8" s="1"/>
  <c r="J12" i="8"/>
  <c r="Q223" i="11" l="1"/>
  <c r="R223" i="11" s="1"/>
  <c r="X40" i="8"/>
  <c r="Q41" i="8"/>
  <c r="R41" i="8" s="1"/>
  <c r="J13" i="8"/>
  <c r="Q224" i="11" l="1"/>
  <c r="R224" i="11" s="1"/>
  <c r="X41" i="8"/>
  <c r="Q42" i="8"/>
  <c r="R42" i="8" s="1"/>
  <c r="J14" i="8"/>
  <c r="Q225" i="11" l="1"/>
  <c r="R225" i="11" s="1"/>
  <c r="X42" i="8"/>
  <c r="Q43" i="8"/>
  <c r="R43" i="8" s="1"/>
  <c r="J15" i="8"/>
  <c r="Q226" i="11" l="1"/>
  <c r="R226" i="11" s="1"/>
  <c r="X43" i="8"/>
  <c r="Q44" i="8"/>
  <c r="R44" i="8" s="1"/>
  <c r="J16" i="8"/>
  <c r="Q227" i="11" l="1"/>
  <c r="R227" i="11" s="1"/>
  <c r="X44" i="8"/>
  <c r="Q45" i="8"/>
  <c r="R45" i="8" s="1"/>
  <c r="J17" i="8"/>
  <c r="Q228" i="11" l="1"/>
  <c r="R228" i="11" s="1"/>
  <c r="X45" i="8"/>
  <c r="Q46" i="8"/>
  <c r="R46" i="8" s="1"/>
  <c r="J18" i="8"/>
  <c r="Q229" i="11" l="1"/>
  <c r="R229" i="11" s="1"/>
  <c r="X46" i="8"/>
  <c r="Q47" i="8"/>
  <c r="R47" i="8" s="1"/>
  <c r="J19" i="8"/>
  <c r="Q230" i="11" l="1"/>
  <c r="R230" i="11" s="1"/>
  <c r="X47" i="8"/>
  <c r="Q48" i="8"/>
  <c r="R48" i="8" s="1"/>
  <c r="J20" i="8"/>
  <c r="Q231" i="11" l="1"/>
  <c r="R231" i="11" s="1"/>
  <c r="X48" i="8"/>
  <c r="Q49" i="8"/>
  <c r="R49" i="8" s="1"/>
  <c r="J21" i="8"/>
  <c r="Q232" i="11" l="1"/>
  <c r="R232" i="11" s="1"/>
  <c r="X49" i="8"/>
  <c r="Q50" i="8"/>
  <c r="R50" i="8" s="1"/>
  <c r="J22" i="8"/>
  <c r="Q233" i="11" l="1"/>
  <c r="R233" i="11" s="1"/>
  <c r="X50" i="8"/>
  <c r="Q51" i="8"/>
  <c r="R51" i="8" s="1"/>
  <c r="J23" i="8"/>
  <c r="Q234" i="11" l="1"/>
  <c r="R234" i="11" s="1"/>
  <c r="X51" i="8"/>
  <c r="Q52" i="8"/>
  <c r="R52" i="8" s="1"/>
  <c r="J24" i="8"/>
  <c r="Q235" i="11" l="1"/>
  <c r="R235" i="11" s="1"/>
  <c r="X52" i="8"/>
  <c r="Q53" i="8"/>
  <c r="R53" i="8" s="1"/>
  <c r="J25" i="8"/>
  <c r="Q236" i="11" l="1"/>
  <c r="R236" i="11" s="1"/>
  <c r="X53" i="8"/>
  <c r="Q54" i="8"/>
  <c r="R54" i="8" s="1"/>
  <c r="J26" i="8"/>
  <c r="Q237" i="11" l="1"/>
  <c r="R237" i="11" s="1"/>
  <c r="X54" i="8"/>
  <c r="Q55" i="8"/>
  <c r="R55" i="8" s="1"/>
  <c r="J27" i="8"/>
  <c r="Q238" i="11" l="1"/>
  <c r="R238" i="11" s="1"/>
  <c r="X55" i="8"/>
  <c r="Q56" i="8"/>
  <c r="R56" i="8" s="1"/>
  <c r="J28" i="8"/>
  <c r="Q239" i="11" l="1"/>
  <c r="R239" i="11" s="1"/>
  <c r="X56" i="8"/>
  <c r="Q57" i="8"/>
  <c r="R57" i="8" s="1"/>
  <c r="J29" i="8"/>
  <c r="Q240" i="11" l="1"/>
  <c r="R240" i="11" s="1"/>
  <c r="X57" i="8"/>
  <c r="Q58" i="8"/>
  <c r="R58" i="8" s="1"/>
  <c r="J30" i="8"/>
  <c r="Q241" i="11" l="1"/>
  <c r="R241" i="11" s="1"/>
  <c r="X58" i="8"/>
  <c r="Q59" i="8"/>
  <c r="R59" i="8" s="1"/>
  <c r="J31" i="8"/>
  <c r="Q242" i="11" l="1"/>
  <c r="R242" i="11" s="1"/>
  <c r="X59" i="8"/>
  <c r="Q60" i="8"/>
  <c r="R60" i="8" s="1"/>
  <c r="J32" i="8"/>
  <c r="Q243" i="11" l="1"/>
  <c r="R243" i="11" s="1"/>
  <c r="X60" i="8"/>
  <c r="Q61" i="8"/>
  <c r="R61" i="8" s="1"/>
  <c r="J33" i="8"/>
  <c r="Q244" i="11" l="1"/>
  <c r="R244" i="11" s="1"/>
  <c r="X61" i="8"/>
  <c r="Q62" i="8"/>
  <c r="R62" i="8" s="1"/>
  <c r="J34" i="8"/>
  <c r="Q245" i="11" l="1"/>
  <c r="R245" i="11" s="1"/>
  <c r="X62" i="8"/>
  <c r="Q63" i="8"/>
  <c r="R63" i="8" s="1"/>
  <c r="J35" i="8"/>
  <c r="Q246" i="11" l="1"/>
  <c r="R246" i="11" s="1"/>
  <c r="X63" i="8"/>
  <c r="Q65" i="8"/>
  <c r="Q64" i="8"/>
  <c r="R64" i="8" s="1"/>
  <c r="J36" i="8"/>
  <c r="Q247" i="11" l="1"/>
  <c r="R247" i="11" s="1"/>
  <c r="R65" i="8"/>
  <c r="R67" i="8" s="1"/>
  <c r="R68" i="8" s="1"/>
  <c r="R69" i="8" s="1"/>
  <c r="X64" i="8"/>
  <c r="J37" i="8"/>
  <c r="Q248" i="11" l="1"/>
  <c r="R248" i="11" s="1"/>
  <c r="X65" i="8"/>
  <c r="X67" i="8" s="1"/>
  <c r="X68" i="8" s="1"/>
  <c r="X71" i="8" s="1"/>
  <c r="J38" i="8"/>
  <c r="Q249" i="11" l="1"/>
  <c r="R249" i="11" s="1"/>
  <c r="J39" i="8"/>
  <c r="Q250" i="11" l="1"/>
  <c r="R250" i="11" s="1"/>
  <c r="J40" i="8"/>
  <c r="Q251" i="11" l="1"/>
  <c r="R251" i="11" s="1"/>
  <c r="J41" i="8"/>
  <c r="Q252" i="11" l="1"/>
  <c r="R252" i="11" s="1"/>
  <c r="J42" i="8"/>
  <c r="Q253" i="11" l="1"/>
  <c r="R253" i="11" s="1"/>
  <c r="J43" i="8"/>
  <c r="Q254" i="11" l="1"/>
  <c r="R254" i="11" s="1"/>
  <c r="R256" i="11" s="1"/>
  <c r="R257" i="11" s="1"/>
  <c r="R258" i="11" s="1"/>
  <c r="J44" i="8"/>
  <c r="J45" i="8" l="1"/>
  <c r="J46" i="8" l="1"/>
  <c r="J47" i="8" l="1"/>
  <c r="J48" i="8" l="1"/>
  <c r="J49" i="8" l="1"/>
  <c r="J50" i="8" l="1"/>
  <c r="J51" i="8" l="1"/>
  <c r="J52" i="8" l="1"/>
  <c r="J53" i="8" l="1"/>
  <c r="J54" i="8" l="1"/>
  <c r="J55" i="8" l="1"/>
  <c r="J56" i="8" l="1"/>
  <c r="J57" i="8" l="1"/>
  <c r="J58" i="8" l="1"/>
  <c r="J59" i="8" l="1"/>
  <c r="J60" i="8" l="1"/>
  <c r="J61" i="8" l="1"/>
  <c r="J62" i="8" l="1"/>
  <c r="J63" i="8" l="1"/>
  <c r="J64" i="8" l="1"/>
  <c r="J65" i="8" l="1"/>
</calcChain>
</file>

<file path=xl/sharedStrings.xml><?xml version="1.0" encoding="utf-8"?>
<sst xmlns="http://schemas.openxmlformats.org/spreadsheetml/2006/main" count="321" uniqueCount="216">
  <si>
    <t>Data</t>
  </si>
  <si>
    <t>DU</t>
  </si>
  <si>
    <t>Alteração</t>
  </si>
  <si>
    <t>Índice</t>
  </si>
  <si>
    <t>Reuniões</t>
  </si>
  <si>
    <t>Ret Período</t>
  </si>
  <si>
    <t>Ret a.a.</t>
  </si>
  <si>
    <t>CDI Atual</t>
  </si>
  <si>
    <r>
      <t xml:space="preserve">CDI </t>
    </r>
    <r>
      <rPr>
        <b/>
        <vertAlign val="superscript"/>
        <sz val="16"/>
        <color theme="1"/>
        <rFont val="Calibri"/>
        <family val="2"/>
        <scheme val="minor"/>
      </rPr>
      <t>2</t>
    </r>
  </si>
  <si>
    <r>
      <t>Média CDI</t>
    </r>
    <r>
      <rPr>
        <b/>
        <vertAlign val="superscript"/>
        <sz val="16"/>
        <color theme="0"/>
        <rFont val="Calibri"/>
        <family val="2"/>
        <scheme val="minor"/>
      </rPr>
      <t>2</t>
    </r>
  </si>
  <si>
    <r>
      <rPr>
        <sz val="14"/>
        <color rgb="FFFF0000"/>
        <rFont val="Wingdings 3"/>
        <family val="1"/>
        <charset val="2"/>
      </rPr>
      <t></t>
    </r>
    <r>
      <rPr>
        <sz val="14"/>
        <color rgb="FFFF0000"/>
        <rFont val="Arial"/>
        <family val="2"/>
      </rPr>
      <t xml:space="preserve"> </t>
    </r>
    <r>
      <rPr>
        <sz val="14"/>
        <color rgb="FF7030A0"/>
        <rFont val="Arial"/>
        <family val="2"/>
      </rPr>
      <t xml:space="preserve"> </t>
    </r>
    <r>
      <rPr>
        <sz val="14"/>
        <color theme="6" tint="-0.499984740745262"/>
        <rFont val="Arial"/>
        <family val="2"/>
      </rPr>
      <t>Data Base</t>
    </r>
    <r>
      <rPr>
        <sz val="14"/>
        <color theme="9" tint="-0.499984740745262"/>
        <rFont val="Arial"/>
        <family val="2"/>
      </rPr>
      <t xml:space="preserve"> </t>
    </r>
  </si>
  <si>
    <t>Atalho Resumo Estatístico</t>
  </si>
  <si>
    <t>Site da B3: Home / Market Data e Índices / Serviços de dados / Market Data / Histórico / Derivativos  / Resumo estatístico / Sistema pregão</t>
  </si>
  <si>
    <t>Código</t>
  </si>
  <si>
    <t>Vencimento</t>
  </si>
  <si>
    <t>Mês</t>
  </si>
  <si>
    <t>http://www.b3.com.br/pt_br/market-data-e-indices/servicos-de-dados/market-data/historico/derivativos/resumo-estatistico/sistema-pregao/</t>
  </si>
  <si>
    <t>F</t>
  </si>
  <si>
    <t>JAN</t>
  </si>
  <si>
    <t>01</t>
  </si>
  <si>
    <t>CDI Over</t>
  </si>
  <si>
    <r>
      <rPr>
        <b/>
        <sz val="14"/>
        <color theme="3" tint="0.39997558519241921"/>
        <rFont val="Arial"/>
        <family val="2"/>
      </rPr>
      <t>Mercadoria:</t>
    </r>
    <r>
      <rPr>
        <b/>
        <sz val="14"/>
        <color rgb="FFFF0000"/>
        <rFont val="Arial"/>
        <family val="2"/>
      </rPr>
      <t xml:space="preserve"> DI 1 DIA</t>
    </r>
  </si>
  <si>
    <t>G</t>
  </si>
  <si>
    <t>FEV</t>
  </si>
  <si>
    <t>02</t>
  </si>
  <si>
    <r>
      <rPr>
        <b/>
        <sz val="12"/>
        <color rgb="FFFF0000"/>
        <rFont val="Symbol"/>
        <family val="1"/>
        <charset val="2"/>
      </rPr>
      <t>­</t>
    </r>
    <r>
      <rPr>
        <b/>
        <sz val="10.199999999999999"/>
        <color rgb="FFFF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Preencha com a Média do CDI do dia da Data Base</t>
    </r>
  </si>
  <si>
    <t>H</t>
  </si>
  <si>
    <t>MAR</t>
  </si>
  <si>
    <t>03</t>
  </si>
  <si>
    <t>http://www.b3.com.br/pt_br/market-data-e-indices/indices/indices-de-segmentos-e-setoriais/serie-historica-do-di.htm</t>
  </si>
  <si>
    <t>J</t>
  </si>
  <si>
    <t>ABR</t>
  </si>
  <si>
    <t>04</t>
  </si>
  <si>
    <t>K</t>
  </si>
  <si>
    <t>MAI</t>
  </si>
  <si>
    <t>05</t>
  </si>
  <si>
    <t>M</t>
  </si>
  <si>
    <t>JUN</t>
  </si>
  <si>
    <t>06</t>
  </si>
  <si>
    <t>N</t>
  </si>
  <si>
    <t>JUL</t>
  </si>
  <si>
    <t>07</t>
  </si>
  <si>
    <t>Q</t>
  </si>
  <si>
    <t>AGO</t>
  </si>
  <si>
    <t>08</t>
  </si>
  <si>
    <r>
      <rPr>
        <b/>
        <sz val="20"/>
        <color rgb="FFFF0000"/>
        <rFont val="Wingdings 3"/>
        <family val="1"/>
        <charset val="2"/>
      </rPr>
      <t>$</t>
    </r>
    <r>
      <rPr>
        <sz val="14"/>
        <color rgb="FFFF0000"/>
        <rFont val="Arial"/>
        <family val="2"/>
      </rPr>
      <t xml:space="preserve">  </t>
    </r>
    <r>
      <rPr>
        <sz val="16"/>
        <color rgb="FFFF0000"/>
        <rFont val="Berlin Sans FB Demi"/>
        <family val="2"/>
      </rPr>
      <t>Cole em A11</t>
    </r>
    <r>
      <rPr>
        <sz val="16"/>
        <color theme="2" tint="-0.749992370372631"/>
        <rFont val="Berlin Sans FB Demi"/>
        <family val="2"/>
      </rPr>
      <t xml:space="preserve"> </t>
    </r>
    <r>
      <rPr>
        <sz val="16"/>
        <color theme="9"/>
        <rFont val="Berlin Sans FB Demi"/>
        <family val="2"/>
      </rPr>
      <t>(use  opção de colagem: Fazer correspondência com a Formatação de Destino (F))</t>
    </r>
  </si>
  <si>
    <t>U</t>
  </si>
  <si>
    <t>SET</t>
  </si>
  <si>
    <t>09</t>
  </si>
  <si>
    <t>DI DE 1 DIA (contrato = R$100.000,00; cotação = taxa de juro)</t>
  </si>
  <si>
    <t>V</t>
  </si>
  <si>
    <t>OUT</t>
  </si>
  <si>
    <t>10</t>
  </si>
  <si>
    <t>X</t>
  </si>
  <si>
    <t>NOV</t>
  </si>
  <si>
    <t>11</t>
  </si>
  <si>
    <t>Z</t>
  </si>
  <si>
    <t>DEZ</t>
  </si>
  <si>
    <t>12</t>
  </si>
  <si>
    <t>MERCADO FUTURO</t>
  </si>
  <si>
    <t>Dados</t>
  </si>
  <si>
    <t>Volume</t>
  </si>
  <si>
    <t>VENCTO</t>
  </si>
  <si>
    <t>CONTR. ABERT.(1)</t>
  </si>
  <si>
    <t>CONTR. FECH.(2)</t>
  </si>
  <si>
    <t>NÚM. NEGOC.</t>
  </si>
  <si>
    <t>CONTR. NEGOC.</t>
  </si>
  <si>
    <t>VOL.</t>
  </si>
  <si>
    <t>AJUSTE ANTER. (3)</t>
  </si>
  <si>
    <t>AJUSTE ANTER. CORRIG. (4)</t>
  </si>
  <si>
    <t>PREÇO ABERT.</t>
  </si>
  <si>
    <t>PREÇO MÍN.</t>
  </si>
  <si>
    <t>PREÇO MÁX.</t>
  </si>
  <si>
    <t>PREÇO MÉD.</t>
  </si>
  <si>
    <t>ÚLT. PREÇO</t>
  </si>
  <si>
    <t>AJUSTE</t>
  </si>
  <si>
    <t>VAR. PTOS.</t>
  </si>
  <si>
    <t>ÚLT. OF. COMPRA</t>
  </si>
  <si>
    <t>ÚLT. OF. VENDA</t>
  </si>
  <si>
    <t>Taxa de Ajuste</t>
  </si>
  <si>
    <t>0,72+</t>
  </si>
  <si>
    <t>Z22</t>
  </si>
  <si>
    <t>F23</t>
  </si>
  <si>
    <t>G23</t>
  </si>
  <si>
    <t>H23</t>
  </si>
  <si>
    <t>J23</t>
  </si>
  <si>
    <t>N23</t>
  </si>
  <si>
    <t>V23</t>
  </si>
  <si>
    <t>F24</t>
  </si>
  <si>
    <t>J24</t>
  </si>
  <si>
    <t>N24</t>
  </si>
  <si>
    <t>V24</t>
  </si>
  <si>
    <t>F25</t>
  </si>
  <si>
    <t>J25</t>
  </si>
  <si>
    <t>N25</t>
  </si>
  <si>
    <t>V25</t>
  </si>
  <si>
    <t>F26</t>
  </si>
  <si>
    <t>J26</t>
  </si>
  <si>
    <t>N26</t>
  </si>
  <si>
    <t>V26</t>
  </si>
  <si>
    <t>F27</t>
  </si>
  <si>
    <t>J27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</si>
  <si>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</si>
  <si>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</si>
  <si>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</si>
  <si>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</si>
  <si>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</si>
  <si>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</si>
  <si>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</si>
  <si>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</si>
  <si>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</si>
  <si>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</si>
  <si>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A taxa e os preços são apenas prévias, não devendo ser considerados definitivos.</t>
  </si>
  <si>
    <t>(1) Contratos em aberto na abertura do dia</t>
  </si>
  <si>
    <t>(2) Contratos em aberto no fechamento do dia</t>
  </si>
  <si>
    <t>(3) Ajuste do dia anterior</t>
  </si>
  <si>
    <t>(4) Ajuste do dia anterior corrigido</t>
  </si>
  <si>
    <t>Atualizado em: 01/12/2022</t>
  </si>
  <si>
    <t>K23</t>
  </si>
  <si>
    <t>M23</t>
  </si>
  <si>
    <t>Q23</t>
  </si>
  <si>
    <t>U23</t>
  </si>
  <si>
    <t>X23</t>
  </si>
  <si>
    <t>Z23</t>
  </si>
  <si>
    <t>N27</t>
  </si>
  <si>
    <t>V27</t>
  </si>
  <si>
    <t>0,01+</t>
  </si>
  <si>
    <t>1,39+</t>
  </si>
  <si>
    <t>3,40+</t>
  </si>
  <si>
    <t>3,86-</t>
  </si>
  <si>
    <t>6,24-</t>
  </si>
  <si>
    <t>9,44-</t>
  </si>
  <si>
    <t>13,19-</t>
  </si>
  <si>
    <t>11,73-</t>
  </si>
  <si>
    <t>9,69-</t>
  </si>
  <si>
    <t>21,88-</t>
  </si>
  <si>
    <t>31,11-</t>
  </si>
  <si>
    <t>4,79+</t>
  </si>
  <si>
    <t>52,50-</t>
  </si>
  <si>
    <t>63,06-</t>
  </si>
  <si>
    <t>90,94-</t>
  </si>
  <si>
    <t>129,72-</t>
  </si>
  <si>
    <t>144,28-</t>
  </si>
  <si>
    <t>160,00-</t>
  </si>
  <si>
    <t>176,94-</t>
  </si>
  <si>
    <t>209,86-</t>
  </si>
  <si>
    <t>247,42-</t>
  </si>
  <si>
    <t>249,10-</t>
  </si>
  <si>
    <t>249,50-</t>
  </si>
  <si>
    <t>238,03-</t>
  </si>
  <si>
    <t>224,41-</t>
  </si>
  <si>
    <t>235,41-</t>
  </si>
  <si>
    <t>249,02-</t>
  </si>
  <si>
    <t>260,04-</t>
  </si>
  <si>
    <t>272,86-</t>
  </si>
  <si>
    <t>288,45-</t>
  </si>
  <si>
    <t>311,30-</t>
  </si>
  <si>
    <t>329,32-</t>
  </si>
  <si>
    <t>315,68-</t>
  </si>
  <si>
    <t>297,03-</t>
  </si>
  <si>
    <t>288,88-</t>
  </si>
  <si>
    <t>280,49-</t>
  </si>
  <si>
    <t>270,00-</t>
  </si>
  <si>
    <t>257,90-</t>
  </si>
  <si>
    <t>TAXA DI OVER PARA 01/12/2022: 0,0508%</t>
  </si>
  <si>
    <t>DATA:</t>
  </si>
  <si>
    <t>DI</t>
  </si>
  <si>
    <t>Taxa</t>
  </si>
  <si>
    <r>
      <t xml:space="preserve">CDI </t>
    </r>
    <r>
      <rPr>
        <b/>
        <vertAlign val="superscript"/>
        <sz val="16"/>
        <color theme="0"/>
        <rFont val="Calibri"/>
        <family val="2"/>
        <scheme val="minor"/>
      </rPr>
      <t>over</t>
    </r>
  </si>
  <si>
    <t>DI FUT</t>
  </si>
  <si>
    <t>Venc</t>
  </si>
  <si>
    <t>Diferença</t>
  </si>
  <si>
    <t>Data do pregão</t>
  </si>
  <si>
    <t>Data do vencimento</t>
  </si>
  <si>
    <t>Cotação do ajuste - dia atual</t>
  </si>
  <si>
    <t>Valor de ajuste por contrato</t>
  </si>
  <si>
    <t>du</t>
  </si>
  <si>
    <t>taxa</t>
  </si>
  <si>
    <t>Cotação do ajuste - dia anterior</t>
  </si>
  <si>
    <t>Cotação do ajuste - dia anterior corrigido</t>
  </si>
  <si>
    <r>
      <t xml:space="preserve">CDI </t>
    </r>
    <r>
      <rPr>
        <b/>
        <vertAlign val="superscript"/>
        <sz val="10"/>
        <rFont val="Tahoma"/>
        <family val="2"/>
      </rPr>
      <t>d-1</t>
    </r>
  </si>
  <si>
    <t>FC</t>
  </si>
  <si>
    <t>FC →</t>
  </si>
  <si>
    <t>Comprado em Taxa</t>
  </si>
  <si>
    <t>Vendido em PU</t>
  </si>
  <si>
    <t>Doado em Juros</t>
  </si>
  <si>
    <t>Vendido em Taxa</t>
  </si>
  <si>
    <t>Comprado em PU</t>
  </si>
  <si>
    <t>↓</t>
  </si>
  <si>
    <t>↑</t>
  </si>
  <si>
    <t>Ativo em CDI</t>
  </si>
  <si>
    <t>Passivo em Pré</t>
  </si>
  <si>
    <t>Ativo em Pré</t>
  </si>
  <si>
    <t>Passivo em CDI</t>
  </si>
  <si>
    <t>Tomado  em Juros</t>
  </si>
  <si>
    <t>Contra o Pré</t>
  </si>
  <si>
    <t>Prefixado</t>
  </si>
  <si>
    <t>Comprado</t>
  </si>
  <si>
    <t>Vendido</t>
  </si>
  <si>
    <t>100% CDI</t>
  </si>
  <si>
    <t>← :: →</t>
  </si>
  <si>
    <t>Dif Taxa</t>
  </si>
  <si>
    <t>PU LTN</t>
  </si>
  <si>
    <t>PU Ajuste DI</t>
  </si>
  <si>
    <t>Taxa DI</t>
  </si>
  <si>
    <t>$</t>
  </si>
  <si>
    <t>Venc DI</t>
  </si>
  <si>
    <t>CDI d-1</t>
  </si>
  <si>
    <t>Ajustes DI</t>
  </si>
  <si>
    <t>Retorno</t>
  </si>
  <si>
    <t>Acumul.</t>
  </si>
  <si>
    <t>Spread</t>
  </si>
  <si>
    <t>LTN Casada / Travada</t>
  </si>
  <si>
    <t>Retorno Pré Sintético</t>
  </si>
  <si>
    <t>Retorno LTN</t>
  </si>
  <si>
    <t>Taxa LTN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</si>
</sst>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0000"/>
    <numFmt numFmtId="165" formatCode="##0.#########"/>
    <numFmt numFmtId="166" formatCode="#,##0.000"/>
    <numFmt numFmtId="167" formatCode="0.000000000"/>
    <numFmt numFmtId="168" formatCode="##0.##"/>
    <numFmt numFmtId="169" formatCode="0.000"/>
    <numFmt numFmtId="170" formatCode="#,##0.00000"/>
    <numFmt numFmtId="171" formatCode="0.0000"/>
    <numFmt numFmtId="172" formatCode="#,##0.0000"/>
    <numFmt numFmtId="173" formatCode="0.0000_ ;[Red]\-0.0000\ "/>
  </numFmts>
  <fonts count="7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indexed="12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vertAlign val="superscript"/>
      <sz val="16"/>
      <color theme="0"/>
      <name val="Calibri"/>
      <family val="2"/>
      <scheme val="minor"/>
    </font>
    <font>
      <b/>
      <sz val="14"/>
      <name val="Arial"/>
      <family val="2"/>
    </font>
    <font>
      <b/>
      <sz val="14"/>
      <color theme="5" tint="-0.249977111117893"/>
      <name val="Arial"/>
      <family val="2"/>
    </font>
    <font>
      <sz val="14"/>
      <name val="Arial"/>
      <family val="2"/>
    </font>
    <font>
      <sz val="14"/>
      <color rgb="FFFF0000"/>
      <name val="Wingdings 3"/>
      <family val="1"/>
      <charset val="2"/>
    </font>
    <font>
      <sz val="14"/>
      <color rgb="FFFF0000"/>
      <name val="Arial"/>
      <family val="2"/>
    </font>
    <font>
      <sz val="14"/>
      <color rgb="FF7030A0"/>
      <name val="Arial"/>
      <family val="2"/>
    </font>
    <font>
      <sz val="14"/>
      <color theme="6" tint="-0.499984740745262"/>
      <name val="Arial"/>
      <family val="2"/>
    </font>
    <font>
      <sz val="14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4"/>
      <color theme="8" tint="-0.249977111117893"/>
      <name val="Arial"/>
      <family val="2"/>
    </font>
    <font>
      <b/>
      <sz val="9"/>
      <color theme="9" tint="-0.249977111117893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20"/>
      <color theme="5" tint="-0.249977111117893"/>
      <name val="Arial"/>
      <family val="2"/>
    </font>
    <font>
      <b/>
      <sz val="14"/>
      <color rgb="FFFF0000"/>
      <name val="Arial"/>
      <family val="2"/>
    </font>
    <font>
      <b/>
      <sz val="14"/>
      <color theme="3" tint="0.39997558519241921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Symbol"/>
      <family val="1"/>
      <charset val="2"/>
    </font>
    <font>
      <b/>
      <sz val="10.199999999999999"/>
      <color rgb="FFFF0000"/>
      <name val="Arial"/>
      <family val="2"/>
    </font>
    <font>
      <u/>
      <sz val="14"/>
      <color theme="10"/>
      <name val="Arial"/>
      <family val="2"/>
    </font>
    <font>
      <b/>
      <sz val="20"/>
      <color rgb="FFFF0000"/>
      <name val="Wingdings 3"/>
      <family val="1"/>
      <charset val="2"/>
    </font>
    <font>
      <sz val="16"/>
      <color rgb="FFFF0000"/>
      <name val="Berlin Sans FB Demi"/>
      <family val="2"/>
    </font>
    <font>
      <sz val="16"/>
      <color theme="2" tint="-0.749992370372631"/>
      <name val="Berlin Sans FB Demi"/>
      <family val="2"/>
    </font>
    <font>
      <sz val="16"/>
      <color theme="9"/>
      <name val="Berlin Sans FB Demi"/>
      <family val="2"/>
    </font>
    <font>
      <b/>
      <sz val="13.5"/>
      <name val="Arial"/>
      <family val="2"/>
    </font>
    <font>
      <b/>
      <sz val="10"/>
      <name val="Tahoma"/>
      <family val="2"/>
    </font>
    <font>
      <sz val="11"/>
      <color theme="1"/>
      <name val="Book Antiqua"/>
      <family val="2"/>
    </font>
    <font>
      <sz val="10"/>
      <name val="Tahoma"/>
      <family val="2"/>
    </font>
    <font>
      <vertAlign val="superscript"/>
      <sz val="10"/>
      <name val="Arial"/>
      <family val="2"/>
    </font>
    <font>
      <b/>
      <sz val="10"/>
      <color theme="0"/>
      <name val="Tahoma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sz val="11"/>
      <name val="Tahoma"/>
      <family val="2"/>
    </font>
    <font>
      <sz val="10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name val="Tahoma"/>
      <family val="2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vertAlign val="superscript"/>
      <sz val="10"/>
      <name val="Tahoma"/>
      <family val="2"/>
    </font>
    <font>
      <b/>
      <sz val="12"/>
      <name val="Tahoma"/>
      <family val="2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Arial Rounded MT Bold"/>
      <family val="2"/>
    </font>
    <font>
      <b/>
      <sz val="72"/>
      <color theme="0"/>
      <name val="Arial Rounded MT Bold"/>
      <family val="2"/>
    </font>
    <font>
      <sz val="72"/>
      <color theme="1"/>
      <name val="Calibri"/>
      <family val="2"/>
      <scheme val="minor"/>
    </font>
    <font>
      <sz val="18"/>
      <name val="Arial Rounded MT Bold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0"/>
      <name val="Tahoma"/>
      <family val="2"/>
    </font>
    <font>
      <b/>
      <sz val="11"/>
      <color theme="0"/>
      <name val="Tahoma"/>
      <family val="2"/>
    </font>
    <font>
      <b/>
      <sz val="8"/>
      <name val="Arial Rounded MT Bold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7" fillId="0" borderId="0"/>
    <xf numFmtId="9" fontId="59" fillId="0" borderId="0" applyFont="0" applyFill="0" applyBorder="0" applyAlignment="0" applyProtection="0"/>
  </cellStyleXfs>
  <cellXfs count="178">
    <xf numFmtId="0" fontId="0" fillId="0" borderId="0" xfId="0"/>
    <xf numFmtId="14" fontId="2" fillId="0" borderId="0" xfId="1" applyNumberFormat="1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14" fontId="7" fillId="0" borderId="0" xfId="0" applyNumberFormat="1" applyFont="1"/>
    <xf numFmtId="2" fontId="7" fillId="0" borderId="0" xfId="0" applyNumberFormat="1" applyFont="1"/>
    <xf numFmtId="164" fontId="7" fillId="3" borderId="0" xfId="0" applyNumberFormat="1" applyFont="1" applyFill="1"/>
    <xf numFmtId="0" fontId="8" fillId="4" borderId="0" xfId="0" applyFont="1" applyFill="1"/>
    <xf numFmtId="2" fontId="7" fillId="5" borderId="0" xfId="0" applyNumberFormat="1" applyFont="1" applyFill="1"/>
    <xf numFmtId="164" fontId="7" fillId="0" borderId="0" xfId="0" applyNumberFormat="1" applyFont="1"/>
    <xf numFmtId="1" fontId="7" fillId="5" borderId="0" xfId="0" applyNumberFormat="1" applyFont="1" applyFill="1"/>
    <xf numFmtId="14" fontId="8" fillId="4" borderId="0" xfId="0" applyNumberFormat="1" applyFont="1" applyFill="1"/>
    <xf numFmtId="0" fontId="8" fillId="6" borderId="0" xfId="0" applyFont="1" applyFill="1" applyAlignment="1">
      <alignment horizontal="center" vertical="center"/>
    </xf>
    <xf numFmtId="0" fontId="7" fillId="3" borderId="0" xfId="0" applyFont="1" applyFill="1"/>
    <xf numFmtId="14" fontId="10" fillId="7" borderId="1" xfId="2" applyNumberFormat="1" applyFont="1" applyFill="1" applyBorder="1" applyAlignment="1">
      <alignment horizontal="left" vertical="center" indent="1"/>
    </xf>
    <xf numFmtId="0" fontId="12" fillId="8" borderId="0" xfId="2" applyFont="1" applyFill="1" applyAlignment="1">
      <alignment horizontal="left" vertical="center"/>
    </xf>
    <xf numFmtId="0" fontId="12" fillId="8" borderId="0" xfId="2" applyFont="1" applyFill="1"/>
    <xf numFmtId="0" fontId="19" fillId="8" borderId="0" xfId="2" applyFont="1" applyFill="1" applyAlignment="1">
      <alignment vertical="center"/>
    </xf>
    <xf numFmtId="0" fontId="20" fillId="8" borderId="0" xfId="2" applyFont="1" applyFill="1" applyAlignment="1">
      <alignment horizontal="left" vertical="center"/>
    </xf>
    <xf numFmtId="0" fontId="12" fillId="0" borderId="0" xfId="2" applyFont="1"/>
    <xf numFmtId="0" fontId="1" fillId="8" borderId="0" xfId="2" applyFill="1"/>
    <xf numFmtId="0" fontId="23" fillId="8" borderId="0" xfId="3" applyFont="1" applyFill="1"/>
    <xf numFmtId="0" fontId="1" fillId="9" borderId="0" xfId="2" applyFill="1" applyAlignment="1">
      <alignment horizontal="center" vertical="center" wrapText="1"/>
    </xf>
    <xf numFmtId="14" fontId="10" fillId="7" borderId="1" xfId="2" applyNumberFormat="1" applyFont="1" applyFill="1" applyBorder="1" applyAlignment="1">
      <alignment horizontal="center" vertical="center"/>
    </xf>
    <xf numFmtId="0" fontId="25" fillId="8" borderId="0" xfId="2" applyFont="1" applyFill="1"/>
    <xf numFmtId="0" fontId="14" fillId="8" borderId="0" xfId="2" applyFont="1" applyFill="1" applyAlignment="1">
      <alignment horizontal="left" vertical="center"/>
    </xf>
    <xf numFmtId="0" fontId="27" fillId="8" borderId="0" xfId="2" applyFont="1" applyFill="1" applyAlignment="1">
      <alignment horizontal="left" indent="1"/>
    </xf>
    <xf numFmtId="9" fontId="12" fillId="8" borderId="0" xfId="4" applyFont="1" applyFill="1"/>
    <xf numFmtId="0" fontId="30" fillId="8" borderId="0" xfId="3" applyFont="1" applyFill="1"/>
    <xf numFmtId="0" fontId="1" fillId="0" borderId="0" xfId="2"/>
    <xf numFmtId="0" fontId="21" fillId="8" borderId="0" xfId="2" applyFont="1" applyFill="1" applyAlignment="1">
      <alignment horizontal="center" vertical="center" wrapText="1"/>
    </xf>
    <xf numFmtId="14" fontId="38" fillId="9" borderId="3" xfId="5" applyNumberFormat="1" applyFont="1" applyFill="1" applyBorder="1" applyAlignment="1" applyProtection="1">
      <alignment horizontal="center" vertical="center"/>
      <protection hidden="1"/>
    </xf>
    <xf numFmtId="3" fontId="38" fillId="10" borderId="4" xfId="2" applyNumberFormat="1" applyFont="1" applyFill="1" applyBorder="1" applyAlignment="1" applyProtection="1">
      <alignment horizontal="center" vertical="center"/>
      <protection hidden="1"/>
    </xf>
    <xf numFmtId="4" fontId="38" fillId="10" borderId="5" xfId="2" applyNumberFormat="1" applyFont="1" applyFill="1" applyBorder="1" applyAlignment="1" applyProtection="1">
      <alignment horizontal="center" vertical="center"/>
      <protection hidden="1"/>
    </xf>
    <xf numFmtId="0" fontId="40" fillId="6" borderId="2" xfId="2" applyFont="1" applyFill="1" applyBorder="1" applyAlignment="1" applyProtection="1">
      <alignment horizontal="center" vertical="center" wrapText="1"/>
      <protection hidden="1"/>
    </xf>
    <xf numFmtId="0" fontId="35" fillId="3" borderId="0" xfId="2" applyFont="1" applyFill="1" applyProtection="1">
      <protection locked="0"/>
    </xf>
    <xf numFmtId="0" fontId="1" fillId="3" borderId="0" xfId="2" applyFill="1" applyProtection="1">
      <protection locked="0"/>
    </xf>
    <xf numFmtId="0" fontId="1" fillId="3" borderId="0" xfId="2" applyFill="1" applyAlignment="1" applyProtection="1">
      <alignment horizontal="center"/>
      <protection locked="0"/>
    </xf>
    <xf numFmtId="0" fontId="1" fillId="3" borderId="0" xfId="2" applyFill="1" applyAlignment="1" applyProtection="1">
      <alignment wrapText="1"/>
      <protection locked="0"/>
    </xf>
    <xf numFmtId="3" fontId="1" fillId="3" borderId="0" xfId="2" applyNumberFormat="1" applyFill="1" applyAlignment="1" applyProtection="1">
      <alignment wrapText="1"/>
      <protection locked="0"/>
    </xf>
    <xf numFmtId="4" fontId="1" fillId="3" borderId="0" xfId="2" applyNumberFormat="1" applyFill="1" applyAlignment="1" applyProtection="1">
      <alignment wrapText="1"/>
      <protection locked="0"/>
    </xf>
    <xf numFmtId="3" fontId="1" fillId="3" borderId="0" xfId="2" applyNumberFormat="1" applyFill="1" applyProtection="1">
      <protection locked="0"/>
    </xf>
    <xf numFmtId="4" fontId="1" fillId="3" borderId="0" xfId="2" applyNumberFormat="1" applyFill="1" applyProtection="1">
      <protection locked="0"/>
    </xf>
    <xf numFmtId="0" fontId="39" fillId="3" borderId="0" xfId="2" applyFont="1" applyFill="1" applyProtection="1">
      <protection locked="0"/>
    </xf>
    <xf numFmtId="10" fontId="24" fillId="3" borderId="1" xfId="4" applyNumberFormat="1" applyFont="1" applyFill="1" applyBorder="1" applyAlignment="1" applyProtection="1">
      <alignment horizontal="center" vertical="center"/>
      <protection locked="0"/>
    </xf>
    <xf numFmtId="14" fontId="11" fillId="11" borderId="1" xfId="2" applyNumberFormat="1" applyFont="1" applyFill="1" applyBorder="1" applyAlignment="1">
      <alignment horizontal="left" vertical="center" indent="1"/>
    </xf>
    <xf numFmtId="14" fontId="18" fillId="11" borderId="1" xfId="2" applyNumberFormat="1" applyFont="1" applyFill="1" applyBorder="1" applyAlignment="1">
      <alignment horizontal="center" vertical="center"/>
    </xf>
    <xf numFmtId="0" fontId="41" fillId="12" borderId="0" xfId="2" applyFont="1" applyFill="1" applyAlignment="1" applyProtection="1">
      <alignment horizontal="center" vertical="center" wrapText="1"/>
      <protection locked="0"/>
    </xf>
    <xf numFmtId="0" fontId="41" fillId="13" borderId="0" xfId="2" applyFont="1" applyFill="1" applyAlignment="1">
      <alignment horizontal="center" vertical="center" wrapText="1"/>
    </xf>
    <xf numFmtId="0" fontId="1" fillId="9" borderId="0" xfId="2" quotePrefix="1" applyFill="1" applyAlignment="1">
      <alignment horizontal="center" vertical="center"/>
    </xf>
    <xf numFmtId="4" fontId="44" fillId="12" borderId="0" xfId="2" applyNumberFormat="1" applyFont="1" applyFill="1"/>
    <xf numFmtId="0" fontId="46" fillId="0" borderId="0" xfId="0" applyFont="1"/>
    <xf numFmtId="0" fontId="47" fillId="12" borderId="0" xfId="2" applyFont="1" applyFill="1" applyAlignment="1" applyProtection="1">
      <alignment horizontal="center" vertical="center" wrapText="1"/>
      <protection locked="0"/>
    </xf>
    <xf numFmtId="14" fontId="4" fillId="3" borderId="0" xfId="0" applyNumberFormat="1" applyFont="1" applyFill="1"/>
    <xf numFmtId="14" fontId="48" fillId="9" borderId="3" xfId="5" applyNumberFormat="1" applyFont="1" applyFill="1" applyBorder="1" applyAlignment="1" applyProtection="1">
      <alignment horizontal="center" vertical="center"/>
      <protection hidden="1"/>
    </xf>
    <xf numFmtId="3" fontId="48" fillId="10" borderId="4" xfId="2" applyNumberFormat="1" applyFont="1" applyFill="1" applyBorder="1" applyAlignment="1" applyProtection="1">
      <alignment horizontal="center" vertical="center"/>
      <protection hidden="1"/>
    </xf>
    <xf numFmtId="4" fontId="48" fillId="10" borderId="5" xfId="2" applyNumberFormat="1" applyFont="1" applyFill="1" applyBorder="1" applyAlignment="1" applyProtection="1">
      <alignment horizontal="center" vertical="center"/>
      <protection hidden="1"/>
    </xf>
    <xf numFmtId="0" fontId="43" fillId="3" borderId="0" xfId="2" applyFont="1" applyFill="1" applyAlignment="1" applyProtection="1">
      <alignment horizontal="center" vertical="center" wrapText="1"/>
      <protection locked="0"/>
    </xf>
    <xf numFmtId="3" fontId="43" fillId="3" borderId="0" xfId="2" applyNumberFormat="1" applyFont="1" applyFill="1" applyAlignment="1" applyProtection="1">
      <alignment horizontal="center" vertical="center" wrapText="1"/>
      <protection locked="0"/>
    </xf>
    <xf numFmtId="4" fontId="43" fillId="3" borderId="0" xfId="2" applyNumberFormat="1" applyFont="1" applyFill="1" applyAlignment="1" applyProtection="1">
      <alignment horizontal="center" vertical="center" wrapText="1"/>
      <protection locked="0"/>
    </xf>
    <xf numFmtId="2" fontId="7" fillId="14" borderId="0" xfId="0" applyNumberFormat="1" applyFont="1" applyFill="1"/>
    <xf numFmtId="0" fontId="5" fillId="15" borderId="0" xfId="0" applyFont="1" applyFill="1" applyAlignment="1">
      <alignment horizontal="center" vertical="center"/>
    </xf>
    <xf numFmtId="14" fontId="5" fillId="15" borderId="0" xfId="0" applyNumberFormat="1" applyFont="1" applyFill="1"/>
    <xf numFmtId="0" fontId="5" fillId="15" borderId="0" xfId="0" applyFont="1" applyFill="1"/>
    <xf numFmtId="2" fontId="5" fillId="15" borderId="0" xfId="0" applyNumberFormat="1" applyFont="1" applyFill="1"/>
    <xf numFmtId="164" fontId="5" fillId="15" borderId="0" xfId="0" applyNumberFormat="1" applyFont="1" applyFill="1"/>
    <xf numFmtId="2" fontId="7" fillId="15" borderId="0" xfId="0" applyNumberFormat="1" applyFont="1" applyFill="1"/>
    <xf numFmtId="0" fontId="7" fillId="3" borderId="0" xfId="0" applyFont="1" applyFill="1" applyAlignment="1">
      <alignment horizontal="center" vertical="center"/>
    </xf>
    <xf numFmtId="14" fontId="49" fillId="15" borderId="0" xfId="0" applyNumberFormat="1" applyFont="1" applyFill="1"/>
    <xf numFmtId="14" fontId="50" fillId="2" borderId="0" xfId="0" applyNumberFormat="1" applyFont="1" applyFill="1"/>
    <xf numFmtId="14" fontId="5" fillId="2" borderId="0" xfId="0" applyNumberFormat="1" applyFont="1" applyFill="1"/>
    <xf numFmtId="0" fontId="5" fillId="2" borderId="0" xfId="0" applyFont="1" applyFill="1"/>
    <xf numFmtId="2" fontId="5" fillId="2" borderId="0" xfId="0" applyNumberFormat="1" applyFont="1" applyFill="1"/>
    <xf numFmtId="0" fontId="21" fillId="2" borderId="0" xfId="2" applyFont="1" applyFill="1" applyAlignment="1" applyProtection="1">
      <alignment horizontal="center" vertical="center" wrapText="1"/>
      <protection locked="0"/>
    </xf>
    <xf numFmtId="0" fontId="36" fillId="17" borderId="0" xfId="5" applyFont="1" applyFill="1" applyAlignment="1">
      <alignment horizontal="center" vertical="center" wrapText="1"/>
    </xf>
    <xf numFmtId="0" fontId="36" fillId="16" borderId="0" xfId="5" applyFont="1" applyFill="1" applyAlignment="1">
      <alignment horizontal="center" vertical="center" wrapText="1"/>
    </xf>
    <xf numFmtId="3" fontId="38" fillId="18" borderId="4" xfId="0" applyNumberFormat="1" applyFont="1" applyFill="1" applyBorder="1" applyAlignment="1" applyProtection="1">
      <alignment horizontal="center" vertical="center"/>
      <protection hidden="1"/>
    </xf>
    <xf numFmtId="4" fontId="43" fillId="2" borderId="0" xfId="2" applyNumberFormat="1" applyFont="1" applyFill="1" applyAlignment="1" applyProtection="1">
      <alignment horizontal="center" vertical="center" wrapText="1"/>
      <protection locked="0"/>
    </xf>
    <xf numFmtId="164" fontId="38" fillId="10" borderId="5" xfId="0" applyNumberFormat="1" applyFont="1" applyFill="1" applyBorder="1" applyAlignment="1" applyProtection="1">
      <alignment horizontal="center" vertical="center"/>
      <protection hidden="1"/>
    </xf>
    <xf numFmtId="166" fontId="48" fillId="10" borderId="5" xfId="2" applyNumberFormat="1" applyFont="1" applyFill="1" applyBorder="1" applyAlignment="1" applyProtection="1">
      <alignment horizontal="center" vertical="center"/>
      <protection hidden="1"/>
    </xf>
    <xf numFmtId="167" fontId="46" fillId="0" borderId="0" xfId="0" applyNumberFormat="1" applyFont="1"/>
    <xf numFmtId="0" fontId="46" fillId="0" borderId="0" xfId="0" applyFont="1" applyAlignment="1">
      <alignment horizontal="right"/>
    </xf>
    <xf numFmtId="4" fontId="38" fillId="11" borderId="0" xfId="5" applyNumberFormat="1" applyFont="1" applyFill="1" applyAlignment="1">
      <alignment horizontal="center" vertical="center"/>
    </xf>
    <xf numFmtId="0" fontId="52" fillId="7" borderId="0" xfId="5" applyFont="1" applyFill="1" applyAlignment="1">
      <alignment horizontal="center" vertical="center" wrapText="1"/>
    </xf>
    <xf numFmtId="166" fontId="48" fillId="3" borderId="5" xfId="0" applyNumberFormat="1" applyFont="1" applyFill="1" applyBorder="1" applyAlignment="1" applyProtection="1">
      <alignment horizontal="center" vertical="center"/>
      <protection hidden="1"/>
    </xf>
    <xf numFmtId="165" fontId="45" fillId="3" borderId="0" xfId="5" applyNumberFormat="1" applyFont="1" applyFill="1" applyAlignment="1">
      <alignment horizontal="center" vertical="center"/>
    </xf>
    <xf numFmtId="4" fontId="38" fillId="8" borderId="0" xfId="5" applyNumberFormat="1" applyFont="1" applyFill="1" applyAlignment="1">
      <alignment horizontal="center" vertical="center"/>
    </xf>
    <xf numFmtId="165" fontId="38" fillId="8" borderId="0" xfId="5" applyNumberFormat="1" applyFont="1" applyFill="1" applyAlignment="1">
      <alignment horizontal="center" vertical="center"/>
    </xf>
    <xf numFmtId="14" fontId="38" fillId="8" borderId="0" xfId="5" applyNumberFormat="1" applyFont="1" applyFill="1" applyAlignment="1">
      <alignment horizontal="center" vertical="center"/>
    </xf>
    <xf numFmtId="0" fontId="40" fillId="19" borderId="0" xfId="5" applyFont="1" applyFill="1" applyAlignment="1">
      <alignment horizontal="center" vertical="center" wrapText="1"/>
    </xf>
    <xf numFmtId="165" fontId="53" fillId="20" borderId="0" xfId="0" applyNumberFormat="1" applyFont="1" applyFill="1" applyAlignment="1">
      <alignment horizontal="center" vertical="center"/>
    </xf>
    <xf numFmtId="2" fontId="38" fillId="11" borderId="0" xfId="5" applyNumberFormat="1" applyFont="1" applyFill="1" applyAlignment="1">
      <alignment horizontal="center" vertical="center"/>
    </xf>
    <xf numFmtId="2" fontId="53" fillId="20" borderId="0" xfId="0" applyNumberFormat="1" applyFont="1" applyFill="1" applyAlignment="1">
      <alignment horizontal="center" vertical="center"/>
    </xf>
    <xf numFmtId="0" fontId="54" fillId="8" borderId="0" xfId="0" applyFont="1" applyFill="1"/>
    <xf numFmtId="0" fontId="57" fillId="8" borderId="0" xfId="0" applyFont="1" applyFill="1"/>
    <xf numFmtId="0" fontId="0" fillId="8" borderId="0" xfId="0" applyFill="1"/>
    <xf numFmtId="4" fontId="53" fillId="19" borderId="0" xfId="0" applyNumberFormat="1" applyFont="1" applyFill="1" applyAlignment="1">
      <alignment horizontal="center" vertical="center"/>
    </xf>
    <xf numFmtId="0" fontId="46" fillId="8" borderId="0" xfId="0" applyFont="1" applyFill="1"/>
    <xf numFmtId="0" fontId="61" fillId="3" borderId="0" xfId="0" applyFont="1" applyFill="1"/>
    <xf numFmtId="2" fontId="61" fillId="5" borderId="0" xfId="0" applyNumberFormat="1" applyFont="1" applyFill="1"/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4" fontId="38" fillId="2" borderId="0" xfId="5" applyNumberFormat="1" applyFont="1" applyFill="1" applyAlignment="1">
      <alignment horizontal="center" vertical="center"/>
    </xf>
    <xf numFmtId="3" fontId="38" fillId="2" borderId="4" xfId="0" applyNumberFormat="1" applyFont="1" applyFill="1" applyBorder="1" applyAlignment="1" applyProtection="1">
      <alignment horizontal="center" vertical="center"/>
      <protection hidden="1"/>
    </xf>
    <xf numFmtId="168" fontId="53" fillId="20" borderId="0" xfId="0" applyNumberFormat="1" applyFont="1" applyFill="1" applyAlignment="1">
      <alignment horizontal="center" vertical="center"/>
    </xf>
    <xf numFmtId="4" fontId="48" fillId="10" borderId="0" xfId="0" applyNumberFormat="1" applyFont="1" applyFill="1" applyAlignment="1" applyProtection="1">
      <alignment horizontal="center" vertical="center"/>
      <protection hidden="1"/>
    </xf>
    <xf numFmtId="0" fontId="48" fillId="0" borderId="0" xfId="0" applyFont="1"/>
    <xf numFmtId="10" fontId="48" fillId="10" borderId="0" xfId="6" applyNumberFormat="1" applyFont="1" applyFill="1" applyBorder="1" applyAlignment="1" applyProtection="1">
      <alignment horizontal="center" vertical="center"/>
      <protection hidden="1"/>
    </xf>
    <xf numFmtId="0" fontId="62" fillId="26" borderId="0" xfId="5" applyFont="1" applyFill="1" applyAlignment="1">
      <alignment horizontal="center" vertical="center" wrapText="1"/>
    </xf>
    <xf numFmtId="0" fontId="62" fillId="4" borderId="0" xfId="5" applyFont="1" applyFill="1" applyAlignment="1">
      <alignment horizontal="center" vertical="center" wrapText="1"/>
    </xf>
    <xf numFmtId="10" fontId="63" fillId="13" borderId="0" xfId="6" applyNumberFormat="1" applyFont="1" applyFill="1" applyBorder="1" applyAlignment="1" applyProtection="1">
      <alignment horizontal="center" vertical="center"/>
      <protection hidden="1"/>
    </xf>
    <xf numFmtId="164" fontId="0" fillId="0" borderId="0" xfId="0" applyNumberFormat="1"/>
    <xf numFmtId="0" fontId="64" fillId="13" borderId="0" xfId="5" applyFont="1" applyFill="1" applyAlignment="1">
      <alignment horizontal="center" vertical="center" wrapText="1"/>
    </xf>
    <xf numFmtId="168" fontId="53" fillId="4" borderId="0" xfId="0" applyNumberFormat="1" applyFont="1" applyFill="1" applyAlignment="1">
      <alignment horizontal="center" vertical="center"/>
    </xf>
    <xf numFmtId="168" fontId="53" fillId="27" borderId="0" xfId="0" applyNumberFormat="1" applyFont="1" applyFill="1" applyAlignment="1">
      <alignment horizontal="center" vertical="center"/>
    </xf>
    <xf numFmtId="4" fontId="48" fillId="16" borderId="0" xfId="0" applyNumberFormat="1" applyFont="1" applyFill="1" applyAlignment="1" applyProtection="1">
      <alignment horizontal="center" vertical="center"/>
      <protection hidden="1"/>
    </xf>
    <xf numFmtId="4" fontId="0" fillId="17" borderId="0" xfId="0" applyNumberFormat="1" applyFill="1" applyAlignment="1">
      <alignment horizontal="center" vertical="center"/>
    </xf>
    <xf numFmtId="0" fontId="60" fillId="28" borderId="0" xfId="0" applyFont="1" applyFill="1" applyAlignment="1">
      <alignment horizontal="center"/>
    </xf>
    <xf numFmtId="0" fontId="65" fillId="8" borderId="6" xfId="5" applyFont="1" applyFill="1" applyBorder="1" applyAlignment="1">
      <alignment horizontal="center" vertical="center" wrapText="1"/>
    </xf>
    <xf numFmtId="0" fontId="65" fillId="29" borderId="6" xfId="5" applyFont="1" applyFill="1" applyBorder="1" applyAlignment="1">
      <alignment horizontal="center" vertical="center" wrapText="1"/>
    </xf>
    <xf numFmtId="0" fontId="65" fillId="30" borderId="6" xfId="5" applyFont="1" applyFill="1" applyBorder="1" applyAlignment="1">
      <alignment horizontal="center" vertical="center" wrapText="1"/>
    </xf>
    <xf numFmtId="0" fontId="65" fillId="3" borderId="6" xfId="5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70" fontId="0" fillId="0" borderId="0" xfId="0" applyNumberFormat="1"/>
    <xf numFmtId="2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169" fontId="0" fillId="3" borderId="0" xfId="0" applyNumberFormat="1" applyFill="1"/>
    <xf numFmtId="0" fontId="60" fillId="31" borderId="0" xfId="0" applyFont="1" applyFill="1" applyAlignment="1">
      <alignment horizontal="center" vertical="center"/>
    </xf>
    <xf numFmtId="170" fontId="68" fillId="2" borderId="0" xfId="0" applyNumberFormat="1" applyFont="1" applyFill="1"/>
    <xf numFmtId="10" fontId="68" fillId="2" borderId="0" xfId="6" applyNumberFormat="1" applyFont="1" applyFill="1"/>
    <xf numFmtId="14" fontId="0" fillId="9" borderId="0" xfId="0" applyNumberFormat="1" applyFill="1"/>
    <xf numFmtId="1" fontId="0" fillId="9" borderId="0" xfId="0" applyNumberFormat="1" applyFill="1" applyAlignment="1">
      <alignment horizontal="center" vertical="center"/>
    </xf>
    <xf numFmtId="14" fontId="0" fillId="9" borderId="0" xfId="0" applyNumberFormat="1" applyFill="1" applyAlignment="1">
      <alignment horizontal="center" vertical="center"/>
    </xf>
    <xf numFmtId="4" fontId="0" fillId="9" borderId="0" xfId="0" applyNumberFormat="1" applyFill="1"/>
    <xf numFmtId="164" fontId="0" fillId="9" borderId="0" xfId="0" applyNumberFormat="1" applyFill="1"/>
    <xf numFmtId="170" fontId="0" fillId="9" borderId="0" xfId="0" applyNumberFormat="1" applyFill="1"/>
    <xf numFmtId="2" fontId="0" fillId="9" borderId="0" xfId="0" applyNumberFormat="1" applyFill="1"/>
    <xf numFmtId="4" fontId="66" fillId="9" borderId="0" xfId="0" applyNumberFormat="1" applyFont="1" applyFill="1"/>
    <xf numFmtId="164" fontId="66" fillId="9" borderId="0" xfId="0" applyNumberFormat="1" applyFont="1" applyFill="1"/>
    <xf numFmtId="0" fontId="65" fillId="16" borderId="6" xfId="5" applyFont="1" applyFill="1" applyBorder="1" applyAlignment="1">
      <alignment horizontal="center" vertical="center" wrapText="1"/>
    </xf>
    <xf numFmtId="14" fontId="67" fillId="9" borderId="0" xfId="0" applyNumberFormat="1" applyFont="1" applyFill="1"/>
    <xf numFmtId="1" fontId="67" fillId="9" borderId="0" xfId="0" applyNumberFormat="1" applyFont="1" applyFill="1" applyAlignment="1">
      <alignment horizontal="center" vertical="center"/>
    </xf>
    <xf numFmtId="0" fontId="67" fillId="3" borderId="0" xfId="0" applyFont="1" applyFill="1"/>
    <xf numFmtId="4" fontId="67" fillId="9" borderId="0" xfId="0" applyNumberFormat="1" applyFont="1" applyFill="1"/>
    <xf numFmtId="164" fontId="67" fillId="9" borderId="0" xfId="0" applyNumberFormat="1" applyFont="1" applyFill="1"/>
    <xf numFmtId="170" fontId="67" fillId="9" borderId="0" xfId="0" applyNumberFormat="1" applyFont="1" applyFill="1"/>
    <xf numFmtId="169" fontId="67" fillId="3" borderId="0" xfId="0" applyNumberFormat="1" applyFont="1" applyFill="1"/>
    <xf numFmtId="2" fontId="67" fillId="3" borderId="0" xfId="0" applyNumberFormat="1" applyFont="1" applyFill="1"/>
    <xf numFmtId="2" fontId="67" fillId="9" borderId="0" xfId="0" applyNumberFormat="1" applyFont="1" applyFill="1"/>
    <xf numFmtId="0" fontId="67" fillId="0" borderId="0" xfId="0" applyFont="1"/>
    <xf numFmtId="172" fontId="68" fillId="2" borderId="0" xfId="0" applyNumberFormat="1" applyFont="1" applyFill="1"/>
    <xf numFmtId="171" fontId="69" fillId="17" borderId="0" xfId="0" applyNumberFormat="1" applyFont="1" applyFill="1"/>
    <xf numFmtId="10" fontId="69" fillId="17" borderId="0" xfId="6" applyNumberFormat="1" applyFont="1" applyFill="1"/>
    <xf numFmtId="172" fontId="0" fillId="9" borderId="0" xfId="0" applyNumberFormat="1" applyFill="1"/>
    <xf numFmtId="172" fontId="67" fillId="9" borderId="0" xfId="0" applyNumberFormat="1" applyFont="1" applyFill="1"/>
    <xf numFmtId="2" fontId="70" fillId="9" borderId="0" xfId="0" applyNumberFormat="1" applyFont="1" applyFill="1"/>
    <xf numFmtId="4" fontId="71" fillId="9" borderId="0" xfId="0" applyNumberFormat="1" applyFont="1" applyFill="1"/>
    <xf numFmtId="166" fontId="71" fillId="0" borderId="0" xfId="0" applyNumberFormat="1" applyFont="1"/>
    <xf numFmtId="171" fontId="73" fillId="9" borderId="0" xfId="0" applyNumberFormat="1" applyFont="1" applyFill="1"/>
    <xf numFmtId="171" fontId="72" fillId="17" borderId="0" xfId="0" applyNumberFormat="1" applyFont="1" applyFill="1" applyAlignment="1">
      <alignment horizontal="center" vertical="center"/>
    </xf>
    <xf numFmtId="166" fontId="0" fillId="0" borderId="0" xfId="0" applyNumberFormat="1"/>
    <xf numFmtId="4" fontId="68" fillId="2" borderId="0" xfId="0" applyNumberFormat="1" applyFont="1" applyFill="1"/>
    <xf numFmtId="2" fontId="3" fillId="17" borderId="0" xfId="0" applyNumberFormat="1" applyFont="1" applyFill="1"/>
    <xf numFmtId="4" fontId="68" fillId="17" borderId="0" xfId="0" applyNumberFormat="1" applyFont="1" applyFill="1"/>
    <xf numFmtId="14" fontId="73" fillId="9" borderId="0" xfId="0" applyNumberFormat="1" applyFont="1" applyFill="1"/>
    <xf numFmtId="173" fontId="73" fillId="9" borderId="0" xfId="0" applyNumberFormat="1" applyFont="1" applyFill="1"/>
    <xf numFmtId="0" fontId="23" fillId="5" borderId="0" xfId="3" applyFont="1" applyFill="1" applyAlignment="1">
      <alignment horizontal="left" vertical="center"/>
    </xf>
    <xf numFmtId="0" fontId="30" fillId="5" borderId="0" xfId="3" applyFont="1" applyFill="1" applyAlignment="1">
      <alignment horizontal="left"/>
    </xf>
    <xf numFmtId="0" fontId="56" fillId="23" borderId="0" xfId="0" applyFont="1" applyFill="1" applyAlignment="1">
      <alignment horizontal="center" vertical="center"/>
    </xf>
    <xf numFmtId="0" fontId="58" fillId="24" borderId="0" xfId="0" applyFont="1" applyFill="1" applyAlignment="1">
      <alignment horizontal="left"/>
    </xf>
    <xf numFmtId="0" fontId="55" fillId="21" borderId="0" xfId="0" applyFont="1" applyFill="1" applyAlignment="1">
      <alignment horizontal="left"/>
    </xf>
    <xf numFmtId="0" fontId="58" fillId="25" borderId="0" xfId="0" applyFont="1" applyFill="1" applyAlignment="1">
      <alignment horizontal="left"/>
    </xf>
    <xf numFmtId="0" fontId="56" fillId="16" borderId="0" xfId="0" applyFont="1" applyFill="1" applyAlignment="1">
      <alignment horizontal="center" vertical="center"/>
    </xf>
    <xf numFmtId="0" fontId="55" fillId="22" borderId="0" xfId="0" applyFont="1" applyFill="1" applyAlignment="1">
      <alignment horizontal="left"/>
    </xf>
  </cellXfs>
  <cellStyles count="7">
    <cellStyle name="Hiperlink 2" xfId="3" xr:uid="{2323D9E7-22E6-4C48-B0E8-D28E16BDB5E6}"/>
    <cellStyle name="Normal" xfId="0" builtinId="0"/>
    <cellStyle name="Normal 2 2" xfId="2" xr:uid="{84737CE3-91CC-4ED3-9429-149413E036DA}"/>
    <cellStyle name="Normal 2 6" xfId="5" xr:uid="{0DEBC672-6656-421F-BF65-F102A5E7E99B}"/>
    <cellStyle name="Normal 4" xfId="1" xr:uid="{A8407F8A-4614-484D-B7CC-71D1A5F30FED}"/>
    <cellStyle name="Porcentagem" xfId="6" builtinId="5"/>
    <cellStyle name="Porcentagem 2" xfId="4" xr:uid="{0E27C22F-15C8-48C8-A968-D20A12023FEB}"/>
  </cellStyles>
  <dxfs count="3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463350</xdr:colOff>
      <xdr:row>8</xdr:row>
      <xdr:rowOff>154197</xdr:rowOff>
    </xdr:from>
    <xdr:to>
      <xdr:col>9</xdr:col>
      <xdr:colOff>44301</xdr:colOff>
      <xdr:row>9</xdr:row>
      <xdr:rowOff>470568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96DF91-D33C-4183-8699-7150139F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6854" y="2474930"/>
          <a:ext cx="537882" cy="537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784412</xdr:colOff>
      <xdr:row>2</xdr:row>
      <xdr:rowOff>56030</xdr:rowOff>
    </xdr:from>
    <xdr:to>
      <xdr:col>12</xdr:col>
      <xdr:colOff>661148</xdr:colOff>
      <xdr:row>9</xdr:row>
      <xdr:rowOff>145676</xdr:rowOff>
    </xdr:to>
    <xdr:sp macro="" textlink="">
      <xdr:nvSpPr>
        <xdr:cNvPr id="3" name="Forma livre 12">
          <a:extLst>
            <a:ext uri="{FF2B5EF4-FFF2-40B4-BE49-F238E27FC236}">
              <a16:creationId xmlns:a16="http://schemas.microsoft.com/office/drawing/2014/main" id="{51B6D25D-E29F-4F92-827F-BE4F4ABEECB9}"/>
            </a:ext>
          </a:extLst>
        </xdr:cNvPr>
        <xdr:cNvSpPr/>
      </xdr:nvSpPr>
      <xdr:spPr bwMode="auto">
        <a:xfrm>
          <a:off x="784412" y="886610"/>
          <a:ext cx="11862996" cy="1712706"/>
        </a:xfrm>
        <a:custGeom>
          <a:avLst/>
          <a:gdLst>
            <a:gd name="connsiteX0" fmla="*/ 11890590 w 11890590"/>
            <a:gd name="connsiteY0" fmla="*/ 0 h 1748117"/>
            <a:gd name="connsiteX1" fmla="*/ 9851119 w 11890590"/>
            <a:gd name="connsiteY1" fmla="*/ 1053353 h 1748117"/>
            <a:gd name="connsiteX2" fmla="*/ 807972 w 11890590"/>
            <a:gd name="connsiteY2" fmla="*/ 1411941 h 1748117"/>
            <a:gd name="connsiteX3" fmla="*/ 438178 w 11890590"/>
            <a:gd name="connsiteY3" fmla="*/ 1748117 h 1748117"/>
            <a:gd name="connsiteX4" fmla="*/ 438178 w 11890590"/>
            <a:gd name="connsiteY4" fmla="*/ 1748117 h 1748117"/>
            <a:gd name="connsiteX0" fmla="*/ 11452412 w 11452412"/>
            <a:gd name="connsiteY0" fmla="*/ 0 h 1748117"/>
            <a:gd name="connsiteX1" fmla="*/ 9412941 w 11452412"/>
            <a:gd name="connsiteY1" fmla="*/ 1053353 h 1748117"/>
            <a:gd name="connsiteX2" fmla="*/ 1255058 w 11452412"/>
            <a:gd name="connsiteY2" fmla="*/ 1367117 h 1748117"/>
            <a:gd name="connsiteX3" fmla="*/ 0 w 11452412"/>
            <a:gd name="connsiteY3" fmla="*/ 1748117 h 1748117"/>
            <a:gd name="connsiteX4" fmla="*/ 0 w 11452412"/>
            <a:gd name="connsiteY4" fmla="*/ 1748117 h 1748117"/>
            <a:gd name="connsiteX0" fmla="*/ 11452412 w 11452412"/>
            <a:gd name="connsiteY0" fmla="*/ 0 h 1748117"/>
            <a:gd name="connsiteX1" fmla="*/ 9412941 w 11452412"/>
            <a:gd name="connsiteY1" fmla="*/ 1053353 h 1748117"/>
            <a:gd name="connsiteX2" fmla="*/ 1109382 w 11452412"/>
            <a:gd name="connsiteY2" fmla="*/ 1355911 h 1748117"/>
            <a:gd name="connsiteX3" fmla="*/ 0 w 11452412"/>
            <a:gd name="connsiteY3" fmla="*/ 1748117 h 1748117"/>
            <a:gd name="connsiteX4" fmla="*/ 0 w 11452412"/>
            <a:gd name="connsiteY4" fmla="*/ 1748117 h 1748117"/>
            <a:gd name="connsiteX0" fmla="*/ 11516692 w 11516692"/>
            <a:gd name="connsiteY0" fmla="*/ 0 h 1787653"/>
            <a:gd name="connsiteX1" fmla="*/ 9477221 w 11516692"/>
            <a:gd name="connsiteY1" fmla="*/ 1053353 h 1787653"/>
            <a:gd name="connsiteX2" fmla="*/ 1173662 w 11516692"/>
            <a:gd name="connsiteY2" fmla="*/ 1355911 h 1787653"/>
            <a:gd name="connsiteX3" fmla="*/ 64280 w 11516692"/>
            <a:gd name="connsiteY3" fmla="*/ 1748117 h 1787653"/>
            <a:gd name="connsiteX4" fmla="*/ 142721 w 11516692"/>
            <a:gd name="connsiteY4" fmla="*/ 1781735 h 1787653"/>
            <a:gd name="connsiteX0" fmla="*/ 11452412 w 11452412"/>
            <a:gd name="connsiteY0" fmla="*/ 0 h 1748117"/>
            <a:gd name="connsiteX1" fmla="*/ 9412941 w 11452412"/>
            <a:gd name="connsiteY1" fmla="*/ 1053353 h 1748117"/>
            <a:gd name="connsiteX2" fmla="*/ 1109382 w 11452412"/>
            <a:gd name="connsiteY2" fmla="*/ 1355911 h 1748117"/>
            <a:gd name="connsiteX3" fmla="*/ 0 w 11452412"/>
            <a:gd name="connsiteY3" fmla="*/ 1748117 h 174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1452412" h="1748117">
              <a:moveTo>
                <a:pt x="11452412" y="0"/>
              </a:moveTo>
              <a:cubicBezTo>
                <a:pt x="11356228" y="409015"/>
                <a:pt x="11136779" y="827368"/>
                <a:pt x="9412941" y="1053353"/>
              </a:cubicBezTo>
              <a:cubicBezTo>
                <a:pt x="7689103" y="1279338"/>
                <a:pt x="2678205" y="1240117"/>
                <a:pt x="1109382" y="1355911"/>
              </a:cubicBezTo>
              <a:cubicBezTo>
                <a:pt x="-459442" y="1471705"/>
                <a:pt x="171824" y="1677146"/>
                <a:pt x="0" y="1748117"/>
              </a:cubicBezTo>
            </a:path>
          </a:pathLst>
        </a:custGeom>
        <a:noFill/>
        <a:ln w="28575" cap="flat" cmpd="sng" algn="ctr">
          <a:solidFill>
            <a:srgbClr val="7030A0"/>
          </a:solidFill>
          <a:prstDash val="solid"/>
          <a:round/>
          <a:headEnd type="none" w="med" len="med"/>
          <a:tailEnd type="triangle" w="lg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0</xdr:row>
          <xdr:rowOff>205740</xdr:rowOff>
        </xdr:from>
        <xdr:to>
          <xdr:col>16</xdr:col>
          <xdr:colOff>525780</xdr:colOff>
          <xdr:row>18</xdr:row>
          <xdr:rowOff>129540</xdr:rowOff>
        </xdr:to>
        <xdr:pic>
          <xdr:nvPicPr>
            <xdr:cNvPr id="7" name="Imagem 6">
              <a:extLst>
                <a:ext uri="{FF2B5EF4-FFF2-40B4-BE49-F238E27FC236}">
                  <a16:creationId xmlns:a16="http://schemas.microsoft.com/office/drawing/2014/main" id="{7F8A15A6-39CD-8560-A30E-78770285D8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DI Futuro'!$C$16:$F$28" spid="_x0000_s626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04520" y="205740"/>
              <a:ext cx="3436620" cy="35661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0</xdr:row>
          <xdr:rowOff>205740</xdr:rowOff>
        </xdr:from>
        <xdr:to>
          <xdr:col>16</xdr:col>
          <xdr:colOff>523240</xdr:colOff>
          <xdr:row>18</xdr:row>
          <xdr:rowOff>154940</xdr:rowOff>
        </xdr:to>
        <xdr:pic>
          <xdr:nvPicPr>
            <xdr:cNvPr id="2" name="Imagem 1">
              <a:extLst>
                <a:ext uri="{FF2B5EF4-FFF2-40B4-BE49-F238E27FC236}">
                  <a16:creationId xmlns:a16="http://schemas.microsoft.com/office/drawing/2014/main" id="{086880EF-CF13-4844-AFED-27CB7FEF79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DI Futuro'!$C$16:$F$28" spid="_x0000_s103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04520" y="205740"/>
              <a:ext cx="3434080" cy="35915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</xdr:colOff>
          <xdr:row>0</xdr:row>
          <xdr:rowOff>205740</xdr:rowOff>
        </xdr:from>
        <xdr:to>
          <xdr:col>19</xdr:col>
          <xdr:colOff>524412</xdr:colOff>
          <xdr:row>18</xdr:row>
          <xdr:rowOff>104531</xdr:rowOff>
        </xdr:to>
        <xdr:pic>
          <xdr:nvPicPr>
            <xdr:cNvPr id="2" name="Imagem 1">
              <a:extLst>
                <a:ext uri="{FF2B5EF4-FFF2-40B4-BE49-F238E27FC236}">
                  <a16:creationId xmlns:a16="http://schemas.microsoft.com/office/drawing/2014/main" id="{F588FA60-220A-4862-B3D8-C49D833978A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DI Futuro'!$C$16:$F$28" spid="_x0000_s1236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5935178" y="205740"/>
              <a:ext cx="3434080" cy="35915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RFP%2003-2020/Planilhas/Curvas/plan%20curvas%202022/Planilha-Projecao-de-Curva-CDI-2022-V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ções"/>
      <sheetName val="Resumo estatístico Futuro DI"/>
      <sheetName val="Datas"/>
      <sheetName val="Curvas TPF Anbima"/>
      <sheetName val="Sistemas de Expec. Bacen"/>
      <sheetName val="Sistemas de Expec Inflação"/>
      <sheetName val="Projeções"/>
      <sheetName val="Cenários Inflação"/>
      <sheetName val="Simulações &amp; Implícitas"/>
      <sheetName val="Cenários"/>
      <sheetName val="Modelagem Cubic Spline"/>
      <sheetName val="Datas Divulgadas COPOM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5">
          <cell r="C5">
            <v>0.11650000000000001</v>
          </cell>
          <cell r="D5">
            <v>1</v>
          </cell>
        </row>
        <row r="6">
          <cell r="C6">
            <v>0.11650000000000001</v>
          </cell>
          <cell r="D6">
            <v>6</v>
          </cell>
        </row>
        <row r="7">
          <cell r="C7">
            <v>0.1232</v>
          </cell>
          <cell r="D7">
            <v>28</v>
          </cell>
        </row>
        <row r="8">
          <cell r="C8">
            <v>0.1255</v>
          </cell>
          <cell r="D8">
            <v>49</v>
          </cell>
        </row>
        <row r="9">
          <cell r="C9">
            <v>0.127</v>
          </cell>
          <cell r="D9">
            <v>70</v>
          </cell>
        </row>
        <row r="10">
          <cell r="C10">
            <v>0.12839999999999999</v>
          </cell>
          <cell r="D10">
            <v>93</v>
          </cell>
        </row>
        <row r="11">
          <cell r="C11">
            <v>0.1293</v>
          </cell>
          <cell r="D11">
            <v>114</v>
          </cell>
        </row>
        <row r="12">
          <cell r="C12">
            <v>0.1298</v>
          </cell>
          <cell r="D12">
            <v>134</v>
          </cell>
        </row>
        <row r="13">
          <cell r="C13">
            <v>0.1303</v>
          </cell>
          <cell r="D13">
            <v>154</v>
          </cell>
        </row>
        <row r="14">
          <cell r="C14">
            <v>0.13039999999999999</v>
          </cell>
          <cell r="D14">
            <v>176</v>
          </cell>
        </row>
        <row r="15">
          <cell r="C15">
            <v>0.13070000000000001</v>
          </cell>
          <cell r="D15">
            <v>198</v>
          </cell>
        </row>
        <row r="16">
          <cell r="C16">
            <v>0.13089999999999999</v>
          </cell>
          <cell r="D16">
            <v>216</v>
          </cell>
        </row>
        <row r="17">
          <cell r="C17">
            <v>0.13070000000000001</v>
          </cell>
          <cell r="D17">
            <v>239</v>
          </cell>
        </row>
        <row r="18">
          <cell r="C18">
            <v>0.13019999999999998</v>
          </cell>
          <cell r="D18">
            <v>300</v>
          </cell>
        </row>
        <row r="19">
          <cell r="C19">
            <v>0.12859999999999999</v>
          </cell>
          <cell r="D19">
            <v>364</v>
          </cell>
        </row>
        <row r="20">
          <cell r="C20">
            <v>0.127</v>
          </cell>
          <cell r="D20">
            <v>425</v>
          </cell>
        </row>
        <row r="21">
          <cell r="C21">
            <v>0.1258</v>
          </cell>
          <cell r="D21">
            <v>486</v>
          </cell>
        </row>
        <row r="22">
          <cell r="C22">
            <v>0.12429999999999999</v>
          </cell>
          <cell r="D22">
            <v>549</v>
          </cell>
        </row>
        <row r="23">
          <cell r="C23">
            <v>0.1225</v>
          </cell>
          <cell r="D23">
            <v>615</v>
          </cell>
        </row>
        <row r="24">
          <cell r="C24">
            <v>0.12140000000000001</v>
          </cell>
          <cell r="D24">
            <v>679</v>
          </cell>
        </row>
        <row r="25">
          <cell r="C25">
            <v>0.1211</v>
          </cell>
          <cell r="D25">
            <v>740</v>
          </cell>
        </row>
        <row r="26">
          <cell r="C26">
            <v>0.12050000000000001</v>
          </cell>
          <cell r="D26">
            <v>801</v>
          </cell>
        </row>
        <row r="27">
          <cell r="C27">
            <v>0.1202</v>
          </cell>
          <cell r="D27">
            <v>867</v>
          </cell>
        </row>
        <row r="28">
          <cell r="C28">
            <v>0.1197</v>
          </cell>
          <cell r="D28">
            <v>932</v>
          </cell>
        </row>
        <row r="29">
          <cell r="C29">
            <v>0.1198</v>
          </cell>
          <cell r="D29">
            <v>993</v>
          </cell>
        </row>
        <row r="30">
          <cell r="C30">
            <v>0.11960000000000001</v>
          </cell>
          <cell r="D30">
            <v>1054</v>
          </cell>
        </row>
        <row r="31">
          <cell r="C31">
            <v>0.1202</v>
          </cell>
          <cell r="D31">
            <v>1119</v>
          </cell>
        </row>
        <row r="32">
          <cell r="C32">
            <v>0.1198</v>
          </cell>
          <cell r="D32">
            <v>1182</v>
          </cell>
        </row>
        <row r="33">
          <cell r="C33">
            <v>0.11990000000000001</v>
          </cell>
          <cell r="D33">
            <v>1242</v>
          </cell>
        </row>
        <row r="34">
          <cell r="C34">
            <v>0.1201</v>
          </cell>
          <cell r="D34">
            <v>1433</v>
          </cell>
        </row>
        <row r="35">
          <cell r="C35">
            <v>0.121</v>
          </cell>
          <cell r="D35">
            <v>1682</v>
          </cell>
        </row>
        <row r="36">
          <cell r="C36">
            <v>0.12140000000000001</v>
          </cell>
          <cell r="D36">
            <v>1932</v>
          </cell>
        </row>
        <row r="37">
          <cell r="C37">
            <v>0.12189999999999999</v>
          </cell>
          <cell r="D37">
            <v>2185</v>
          </cell>
        </row>
        <row r="38">
          <cell r="C38">
            <v>0.12189999999999999</v>
          </cell>
          <cell r="D38">
            <v>2438</v>
          </cell>
        </row>
        <row r="39">
          <cell r="C39">
            <v>0.122</v>
          </cell>
          <cell r="D39">
            <v>2690</v>
          </cell>
        </row>
        <row r="40">
          <cell r="C40">
            <v>0.12240000000000001</v>
          </cell>
          <cell r="D40">
            <v>2941</v>
          </cell>
        </row>
        <row r="41">
          <cell r="C41">
            <v>0.1222</v>
          </cell>
          <cell r="D41">
            <v>3190</v>
          </cell>
        </row>
        <row r="42">
          <cell r="C42">
            <v>0.1222</v>
          </cell>
          <cell r="D42">
            <v>3440</v>
          </cell>
        </row>
        <row r="43">
          <cell r="C43">
            <v>0.1222</v>
          </cell>
          <cell r="D43">
            <v>3694</v>
          </cell>
        </row>
      </sheetData>
      <sheetData sheetId="11" refreshError="1"/>
      <sheetData sheetId="12">
        <row r="2">
          <cell r="A2">
            <v>36892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3.com.br/pt_br/market-data-e-indices/servicos-de-dados/market-data/historico/derivativos/resumo-estatistico/sistema-pregao/" TargetMode="External"/><Relationship Id="rId1" Type="http://schemas.openxmlformats.org/officeDocument/2006/relationships/hyperlink" Target="http://www.b3.com.br/pt_br/market-data-e-indices/indices/indices-de-segmentos-e-setoriais/serie-historica-do-di.htm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79FE-FAAD-4077-97D4-3A729B68C96B}">
  <dimension ref="A1:A936"/>
  <sheetViews>
    <sheetView topLeftCell="A910" workbookViewId="0">
      <selection activeCell="A936" sqref="A936"/>
    </sheetView>
  </sheetViews>
  <sheetFormatPr defaultRowHeight="14.4" x14ac:dyDescent="0.3"/>
  <sheetData>
    <row r="1" spans="1:1" x14ac:dyDescent="0.3">
      <c r="A1" s="1">
        <v>36892</v>
      </c>
    </row>
    <row r="2" spans="1:1" x14ac:dyDescent="0.3">
      <c r="A2" s="1">
        <v>36948</v>
      </c>
    </row>
    <row r="3" spans="1:1" x14ac:dyDescent="0.3">
      <c r="A3" s="1">
        <v>36949</v>
      </c>
    </row>
    <row r="4" spans="1:1" x14ac:dyDescent="0.3">
      <c r="A4" s="1">
        <v>36994</v>
      </c>
    </row>
    <row r="5" spans="1:1" x14ac:dyDescent="0.3">
      <c r="A5" s="1">
        <v>37002</v>
      </c>
    </row>
    <row r="6" spans="1:1" x14ac:dyDescent="0.3">
      <c r="A6" s="1">
        <v>37012</v>
      </c>
    </row>
    <row r="7" spans="1:1" x14ac:dyDescent="0.3">
      <c r="A7" s="1">
        <v>37056</v>
      </c>
    </row>
    <row r="8" spans="1:1" x14ac:dyDescent="0.3">
      <c r="A8" s="1">
        <v>37141</v>
      </c>
    </row>
    <row r="9" spans="1:1" x14ac:dyDescent="0.3">
      <c r="A9" s="1">
        <v>37176</v>
      </c>
    </row>
    <row r="10" spans="1:1" x14ac:dyDescent="0.3">
      <c r="A10" s="1">
        <v>37197</v>
      </c>
    </row>
    <row r="11" spans="1:1" x14ac:dyDescent="0.3">
      <c r="A11" s="1">
        <v>37210</v>
      </c>
    </row>
    <row r="12" spans="1:1" x14ac:dyDescent="0.3">
      <c r="A12" s="1">
        <v>37250</v>
      </c>
    </row>
    <row r="13" spans="1:1" x14ac:dyDescent="0.3">
      <c r="A13" s="1">
        <v>37257</v>
      </c>
    </row>
    <row r="14" spans="1:1" x14ac:dyDescent="0.3">
      <c r="A14" s="1">
        <v>37298</v>
      </c>
    </row>
    <row r="15" spans="1:1" x14ac:dyDescent="0.3">
      <c r="A15" s="1">
        <v>37299</v>
      </c>
    </row>
    <row r="16" spans="1:1" x14ac:dyDescent="0.3">
      <c r="A16" s="1">
        <v>37344</v>
      </c>
    </row>
    <row r="17" spans="1:1" x14ac:dyDescent="0.3">
      <c r="A17" s="1">
        <v>37367</v>
      </c>
    </row>
    <row r="18" spans="1:1" x14ac:dyDescent="0.3">
      <c r="A18" s="1">
        <v>37377</v>
      </c>
    </row>
    <row r="19" spans="1:1" x14ac:dyDescent="0.3">
      <c r="A19" s="1">
        <v>37406</v>
      </c>
    </row>
    <row r="20" spans="1:1" x14ac:dyDescent="0.3">
      <c r="A20" s="1">
        <v>37506</v>
      </c>
    </row>
    <row r="21" spans="1:1" x14ac:dyDescent="0.3">
      <c r="A21" s="1">
        <v>37541</v>
      </c>
    </row>
    <row r="22" spans="1:1" x14ac:dyDescent="0.3">
      <c r="A22" s="1">
        <v>37562</v>
      </c>
    </row>
    <row r="23" spans="1:1" x14ac:dyDescent="0.3">
      <c r="A23" s="1">
        <v>37575</v>
      </c>
    </row>
    <row r="24" spans="1:1" x14ac:dyDescent="0.3">
      <c r="A24" s="1">
        <v>37615</v>
      </c>
    </row>
    <row r="25" spans="1:1" x14ac:dyDescent="0.3">
      <c r="A25" s="1">
        <v>37622</v>
      </c>
    </row>
    <row r="26" spans="1:1" x14ac:dyDescent="0.3">
      <c r="A26" s="1">
        <v>37683</v>
      </c>
    </row>
    <row r="27" spans="1:1" x14ac:dyDescent="0.3">
      <c r="A27" s="1">
        <v>37684</v>
      </c>
    </row>
    <row r="28" spans="1:1" x14ac:dyDescent="0.3">
      <c r="A28" s="1">
        <v>37729</v>
      </c>
    </row>
    <row r="29" spans="1:1" x14ac:dyDescent="0.3">
      <c r="A29" s="1">
        <v>37732</v>
      </c>
    </row>
    <row r="30" spans="1:1" x14ac:dyDescent="0.3">
      <c r="A30" s="1">
        <v>37742</v>
      </c>
    </row>
    <row r="31" spans="1:1" x14ac:dyDescent="0.3">
      <c r="A31" s="1">
        <v>37791</v>
      </c>
    </row>
    <row r="32" spans="1:1" x14ac:dyDescent="0.3">
      <c r="A32" s="1">
        <v>37871</v>
      </c>
    </row>
    <row r="33" spans="1:1" x14ac:dyDescent="0.3">
      <c r="A33" s="1">
        <v>37906</v>
      </c>
    </row>
    <row r="34" spans="1:1" x14ac:dyDescent="0.3">
      <c r="A34" s="1">
        <v>37927</v>
      </c>
    </row>
    <row r="35" spans="1:1" x14ac:dyDescent="0.3">
      <c r="A35" s="1">
        <v>37940</v>
      </c>
    </row>
    <row r="36" spans="1:1" x14ac:dyDescent="0.3">
      <c r="A36" s="1">
        <v>37980</v>
      </c>
    </row>
    <row r="37" spans="1:1" x14ac:dyDescent="0.3">
      <c r="A37" s="1">
        <v>37987</v>
      </c>
    </row>
    <row r="38" spans="1:1" x14ac:dyDescent="0.3">
      <c r="A38" s="1">
        <v>38040</v>
      </c>
    </row>
    <row r="39" spans="1:1" x14ac:dyDescent="0.3">
      <c r="A39" s="1">
        <v>38041</v>
      </c>
    </row>
    <row r="40" spans="1:1" x14ac:dyDescent="0.3">
      <c r="A40" s="1">
        <v>38086</v>
      </c>
    </row>
    <row r="41" spans="1:1" x14ac:dyDescent="0.3">
      <c r="A41" s="1">
        <v>38098</v>
      </c>
    </row>
    <row r="42" spans="1:1" x14ac:dyDescent="0.3">
      <c r="A42" s="1">
        <v>38108</v>
      </c>
    </row>
    <row r="43" spans="1:1" x14ac:dyDescent="0.3">
      <c r="A43" s="1">
        <v>38148</v>
      </c>
    </row>
    <row r="44" spans="1:1" x14ac:dyDescent="0.3">
      <c r="A44" s="1">
        <v>38237</v>
      </c>
    </row>
    <row r="45" spans="1:1" x14ac:dyDescent="0.3">
      <c r="A45" s="1">
        <v>38272</v>
      </c>
    </row>
    <row r="46" spans="1:1" x14ac:dyDescent="0.3">
      <c r="A46" s="1">
        <v>38293</v>
      </c>
    </row>
    <row r="47" spans="1:1" x14ac:dyDescent="0.3">
      <c r="A47" s="1">
        <v>38306</v>
      </c>
    </row>
    <row r="48" spans="1:1" x14ac:dyDescent="0.3">
      <c r="A48" s="1">
        <v>38346</v>
      </c>
    </row>
    <row r="49" spans="1:1" x14ac:dyDescent="0.3">
      <c r="A49" s="1">
        <v>38353</v>
      </c>
    </row>
    <row r="50" spans="1:1" x14ac:dyDescent="0.3">
      <c r="A50" s="1">
        <v>38390</v>
      </c>
    </row>
    <row r="51" spans="1:1" x14ac:dyDescent="0.3">
      <c r="A51" s="1">
        <v>38391</v>
      </c>
    </row>
    <row r="52" spans="1:1" x14ac:dyDescent="0.3">
      <c r="A52" s="1">
        <v>38436</v>
      </c>
    </row>
    <row r="53" spans="1:1" x14ac:dyDescent="0.3">
      <c r="A53" s="1">
        <v>38463</v>
      </c>
    </row>
    <row r="54" spans="1:1" x14ac:dyDescent="0.3">
      <c r="A54" s="1">
        <v>38473</v>
      </c>
    </row>
    <row r="55" spans="1:1" x14ac:dyDescent="0.3">
      <c r="A55" s="1">
        <v>38498</v>
      </c>
    </row>
    <row r="56" spans="1:1" x14ac:dyDescent="0.3">
      <c r="A56" s="1">
        <v>38602</v>
      </c>
    </row>
    <row r="57" spans="1:1" x14ac:dyDescent="0.3">
      <c r="A57" s="1">
        <v>38637</v>
      </c>
    </row>
    <row r="58" spans="1:1" x14ac:dyDescent="0.3">
      <c r="A58" s="1">
        <v>38658</v>
      </c>
    </row>
    <row r="59" spans="1:1" x14ac:dyDescent="0.3">
      <c r="A59" s="1">
        <v>38671</v>
      </c>
    </row>
    <row r="60" spans="1:1" x14ac:dyDescent="0.3">
      <c r="A60" s="1">
        <v>38711</v>
      </c>
    </row>
    <row r="61" spans="1:1" x14ac:dyDescent="0.3">
      <c r="A61" s="1">
        <v>38718</v>
      </c>
    </row>
    <row r="62" spans="1:1" x14ac:dyDescent="0.3">
      <c r="A62" s="1">
        <v>38775</v>
      </c>
    </row>
    <row r="63" spans="1:1" x14ac:dyDescent="0.3">
      <c r="A63" s="1">
        <v>38776</v>
      </c>
    </row>
    <row r="64" spans="1:1" x14ac:dyDescent="0.3">
      <c r="A64" s="1">
        <v>38821</v>
      </c>
    </row>
    <row r="65" spans="1:1" x14ac:dyDescent="0.3">
      <c r="A65" s="1">
        <v>38828</v>
      </c>
    </row>
    <row r="66" spans="1:1" x14ac:dyDescent="0.3">
      <c r="A66" s="1">
        <v>38838</v>
      </c>
    </row>
    <row r="67" spans="1:1" x14ac:dyDescent="0.3">
      <c r="A67" s="1">
        <v>38883</v>
      </c>
    </row>
    <row r="68" spans="1:1" x14ac:dyDescent="0.3">
      <c r="A68" s="1">
        <v>38967</v>
      </c>
    </row>
    <row r="69" spans="1:1" x14ac:dyDescent="0.3">
      <c r="A69" s="1">
        <v>39002</v>
      </c>
    </row>
    <row r="70" spans="1:1" x14ac:dyDescent="0.3">
      <c r="A70" s="1">
        <v>39023</v>
      </c>
    </row>
    <row r="71" spans="1:1" x14ac:dyDescent="0.3">
      <c r="A71" s="1">
        <v>39036</v>
      </c>
    </row>
    <row r="72" spans="1:1" x14ac:dyDescent="0.3">
      <c r="A72" s="1">
        <v>39076</v>
      </c>
    </row>
    <row r="73" spans="1:1" x14ac:dyDescent="0.3">
      <c r="A73" s="1">
        <v>39083</v>
      </c>
    </row>
    <row r="74" spans="1:1" x14ac:dyDescent="0.3">
      <c r="A74" s="1">
        <v>39132</v>
      </c>
    </row>
    <row r="75" spans="1:1" x14ac:dyDescent="0.3">
      <c r="A75" s="1">
        <v>39133</v>
      </c>
    </row>
    <row r="76" spans="1:1" x14ac:dyDescent="0.3">
      <c r="A76" s="1">
        <v>39178</v>
      </c>
    </row>
    <row r="77" spans="1:1" x14ac:dyDescent="0.3">
      <c r="A77" s="1">
        <v>39193</v>
      </c>
    </row>
    <row r="78" spans="1:1" x14ac:dyDescent="0.3">
      <c r="A78" s="1">
        <v>39203</v>
      </c>
    </row>
    <row r="79" spans="1:1" x14ac:dyDescent="0.3">
      <c r="A79" s="1">
        <v>39240</v>
      </c>
    </row>
    <row r="80" spans="1:1" x14ac:dyDescent="0.3">
      <c r="A80" s="1">
        <v>39332</v>
      </c>
    </row>
    <row r="81" spans="1:1" x14ac:dyDescent="0.3">
      <c r="A81" s="1">
        <v>39367</v>
      </c>
    </row>
    <row r="82" spans="1:1" x14ac:dyDescent="0.3">
      <c r="A82" s="1">
        <v>39388</v>
      </c>
    </row>
    <row r="83" spans="1:1" x14ac:dyDescent="0.3">
      <c r="A83" s="1">
        <v>39401</v>
      </c>
    </row>
    <row r="84" spans="1:1" x14ac:dyDescent="0.3">
      <c r="A84" s="1">
        <v>39441</v>
      </c>
    </row>
    <row r="85" spans="1:1" x14ac:dyDescent="0.3">
      <c r="A85" s="1">
        <v>39448</v>
      </c>
    </row>
    <row r="86" spans="1:1" x14ac:dyDescent="0.3">
      <c r="A86" s="1">
        <v>39482</v>
      </c>
    </row>
    <row r="87" spans="1:1" x14ac:dyDescent="0.3">
      <c r="A87" s="1">
        <v>39483</v>
      </c>
    </row>
    <row r="88" spans="1:1" x14ac:dyDescent="0.3">
      <c r="A88" s="1">
        <v>39528</v>
      </c>
    </row>
    <row r="89" spans="1:1" x14ac:dyDescent="0.3">
      <c r="A89" s="1">
        <v>39559</v>
      </c>
    </row>
    <row r="90" spans="1:1" x14ac:dyDescent="0.3">
      <c r="A90" s="1">
        <v>39569</v>
      </c>
    </row>
    <row r="91" spans="1:1" x14ac:dyDescent="0.3">
      <c r="A91" s="1">
        <v>39590</v>
      </c>
    </row>
    <row r="92" spans="1:1" x14ac:dyDescent="0.3">
      <c r="A92" s="1">
        <v>39698</v>
      </c>
    </row>
    <row r="93" spans="1:1" x14ac:dyDescent="0.3">
      <c r="A93" s="1">
        <v>39733</v>
      </c>
    </row>
    <row r="94" spans="1:1" x14ac:dyDescent="0.3">
      <c r="A94" s="1">
        <v>39754</v>
      </c>
    </row>
    <row r="95" spans="1:1" x14ac:dyDescent="0.3">
      <c r="A95" s="1">
        <v>39767</v>
      </c>
    </row>
    <row r="96" spans="1:1" x14ac:dyDescent="0.3">
      <c r="A96" s="1">
        <v>39807</v>
      </c>
    </row>
    <row r="97" spans="1:1" x14ac:dyDescent="0.3">
      <c r="A97" s="1">
        <v>39814</v>
      </c>
    </row>
    <row r="98" spans="1:1" x14ac:dyDescent="0.3">
      <c r="A98" s="1">
        <v>39867</v>
      </c>
    </row>
    <row r="99" spans="1:1" x14ac:dyDescent="0.3">
      <c r="A99" s="1">
        <v>39868</v>
      </c>
    </row>
    <row r="100" spans="1:1" x14ac:dyDescent="0.3">
      <c r="A100" s="1">
        <v>39913</v>
      </c>
    </row>
    <row r="101" spans="1:1" x14ac:dyDescent="0.3">
      <c r="A101" s="1">
        <v>39924</v>
      </c>
    </row>
    <row r="102" spans="1:1" x14ac:dyDescent="0.3">
      <c r="A102" s="1">
        <v>39934</v>
      </c>
    </row>
    <row r="103" spans="1:1" x14ac:dyDescent="0.3">
      <c r="A103" s="1">
        <v>39975</v>
      </c>
    </row>
    <row r="104" spans="1:1" x14ac:dyDescent="0.3">
      <c r="A104" s="1">
        <v>40063</v>
      </c>
    </row>
    <row r="105" spans="1:1" x14ac:dyDescent="0.3">
      <c r="A105" s="1">
        <v>40098</v>
      </c>
    </row>
    <row r="106" spans="1:1" x14ac:dyDescent="0.3">
      <c r="A106" s="1">
        <v>40119</v>
      </c>
    </row>
    <row r="107" spans="1:1" x14ac:dyDescent="0.3">
      <c r="A107" s="1">
        <v>40132</v>
      </c>
    </row>
    <row r="108" spans="1:1" x14ac:dyDescent="0.3">
      <c r="A108" s="1">
        <v>40172</v>
      </c>
    </row>
    <row r="109" spans="1:1" x14ac:dyDescent="0.3">
      <c r="A109" s="1">
        <v>40179</v>
      </c>
    </row>
    <row r="110" spans="1:1" x14ac:dyDescent="0.3">
      <c r="A110" s="1">
        <v>40224</v>
      </c>
    </row>
    <row r="111" spans="1:1" x14ac:dyDescent="0.3">
      <c r="A111" s="1">
        <v>40225</v>
      </c>
    </row>
    <row r="112" spans="1:1" x14ac:dyDescent="0.3">
      <c r="A112" s="1">
        <v>40270</v>
      </c>
    </row>
    <row r="113" spans="1:1" x14ac:dyDescent="0.3">
      <c r="A113" s="1">
        <v>40289</v>
      </c>
    </row>
    <row r="114" spans="1:1" x14ac:dyDescent="0.3">
      <c r="A114" s="1">
        <v>40299</v>
      </c>
    </row>
    <row r="115" spans="1:1" x14ac:dyDescent="0.3">
      <c r="A115" s="1">
        <v>40332</v>
      </c>
    </row>
    <row r="116" spans="1:1" x14ac:dyDescent="0.3">
      <c r="A116" s="1">
        <v>40428</v>
      </c>
    </row>
    <row r="117" spans="1:1" x14ac:dyDescent="0.3">
      <c r="A117" s="1">
        <v>40463</v>
      </c>
    </row>
    <row r="118" spans="1:1" x14ac:dyDescent="0.3">
      <c r="A118" s="1">
        <v>40484</v>
      </c>
    </row>
    <row r="119" spans="1:1" x14ac:dyDescent="0.3">
      <c r="A119" s="1">
        <v>40497</v>
      </c>
    </row>
    <row r="120" spans="1:1" x14ac:dyDescent="0.3">
      <c r="A120" s="1">
        <v>40537</v>
      </c>
    </row>
    <row r="121" spans="1:1" x14ac:dyDescent="0.3">
      <c r="A121" s="1">
        <v>40544</v>
      </c>
    </row>
    <row r="122" spans="1:1" x14ac:dyDescent="0.3">
      <c r="A122" s="1">
        <v>40609</v>
      </c>
    </row>
    <row r="123" spans="1:1" x14ac:dyDescent="0.3">
      <c r="A123" s="1">
        <v>40610</v>
      </c>
    </row>
    <row r="124" spans="1:1" x14ac:dyDescent="0.3">
      <c r="A124" s="1">
        <v>40654</v>
      </c>
    </row>
    <row r="125" spans="1:1" x14ac:dyDescent="0.3">
      <c r="A125" s="1">
        <v>40655</v>
      </c>
    </row>
    <row r="126" spans="1:1" x14ac:dyDescent="0.3">
      <c r="A126" s="1">
        <v>40664</v>
      </c>
    </row>
    <row r="127" spans="1:1" x14ac:dyDescent="0.3">
      <c r="A127" s="1">
        <v>40717</v>
      </c>
    </row>
    <row r="128" spans="1:1" x14ac:dyDescent="0.3">
      <c r="A128" s="1">
        <v>40793</v>
      </c>
    </row>
    <row r="129" spans="1:1" x14ac:dyDescent="0.3">
      <c r="A129" s="1">
        <v>40828</v>
      </c>
    </row>
    <row r="130" spans="1:1" x14ac:dyDescent="0.3">
      <c r="A130" s="1">
        <v>40849</v>
      </c>
    </row>
    <row r="131" spans="1:1" x14ac:dyDescent="0.3">
      <c r="A131" s="1">
        <v>40862</v>
      </c>
    </row>
    <row r="132" spans="1:1" x14ac:dyDescent="0.3">
      <c r="A132" s="1">
        <v>40902</v>
      </c>
    </row>
    <row r="133" spans="1:1" x14ac:dyDescent="0.3">
      <c r="A133" s="1">
        <v>40909</v>
      </c>
    </row>
    <row r="134" spans="1:1" x14ac:dyDescent="0.3">
      <c r="A134" s="1">
        <v>40959</v>
      </c>
    </row>
    <row r="135" spans="1:1" x14ac:dyDescent="0.3">
      <c r="A135" s="1">
        <v>40960</v>
      </c>
    </row>
    <row r="136" spans="1:1" x14ac:dyDescent="0.3">
      <c r="A136" s="1">
        <v>41005</v>
      </c>
    </row>
    <row r="137" spans="1:1" x14ac:dyDescent="0.3">
      <c r="A137" s="1">
        <v>41020</v>
      </c>
    </row>
    <row r="138" spans="1:1" x14ac:dyDescent="0.3">
      <c r="A138" s="1">
        <v>41030</v>
      </c>
    </row>
    <row r="139" spans="1:1" x14ac:dyDescent="0.3">
      <c r="A139" s="1">
        <v>41067</v>
      </c>
    </row>
    <row r="140" spans="1:1" x14ac:dyDescent="0.3">
      <c r="A140" s="1">
        <v>41159</v>
      </c>
    </row>
    <row r="141" spans="1:1" x14ac:dyDescent="0.3">
      <c r="A141" s="1">
        <v>41194</v>
      </c>
    </row>
    <row r="142" spans="1:1" x14ac:dyDescent="0.3">
      <c r="A142" s="1">
        <v>41215</v>
      </c>
    </row>
    <row r="143" spans="1:1" x14ac:dyDescent="0.3">
      <c r="A143" s="1">
        <v>41228</v>
      </c>
    </row>
    <row r="144" spans="1:1" x14ac:dyDescent="0.3">
      <c r="A144" s="1">
        <v>41268</v>
      </c>
    </row>
    <row r="145" spans="1:1" x14ac:dyDescent="0.3">
      <c r="A145" s="1">
        <v>41275</v>
      </c>
    </row>
    <row r="146" spans="1:1" x14ac:dyDescent="0.3">
      <c r="A146" s="1">
        <v>41316</v>
      </c>
    </row>
    <row r="147" spans="1:1" x14ac:dyDescent="0.3">
      <c r="A147" s="1">
        <v>41317</v>
      </c>
    </row>
    <row r="148" spans="1:1" x14ac:dyDescent="0.3">
      <c r="A148" s="1">
        <v>41362</v>
      </c>
    </row>
    <row r="149" spans="1:1" x14ac:dyDescent="0.3">
      <c r="A149" s="1">
        <v>41385</v>
      </c>
    </row>
    <row r="150" spans="1:1" x14ac:dyDescent="0.3">
      <c r="A150" s="1">
        <v>41395</v>
      </c>
    </row>
    <row r="151" spans="1:1" x14ac:dyDescent="0.3">
      <c r="A151" s="1">
        <v>41424</v>
      </c>
    </row>
    <row r="152" spans="1:1" x14ac:dyDescent="0.3">
      <c r="A152" s="1">
        <v>41524</v>
      </c>
    </row>
    <row r="153" spans="1:1" x14ac:dyDescent="0.3">
      <c r="A153" s="1">
        <v>41559</v>
      </c>
    </row>
    <row r="154" spans="1:1" x14ac:dyDescent="0.3">
      <c r="A154" s="1">
        <v>41580</v>
      </c>
    </row>
    <row r="155" spans="1:1" x14ac:dyDescent="0.3">
      <c r="A155" s="1">
        <v>41593</v>
      </c>
    </row>
    <row r="156" spans="1:1" x14ac:dyDescent="0.3">
      <c r="A156" s="1">
        <v>41633</v>
      </c>
    </row>
    <row r="157" spans="1:1" x14ac:dyDescent="0.3">
      <c r="A157" s="1">
        <v>41640</v>
      </c>
    </row>
    <row r="158" spans="1:1" x14ac:dyDescent="0.3">
      <c r="A158" s="1">
        <v>41701</v>
      </c>
    </row>
    <row r="159" spans="1:1" x14ac:dyDescent="0.3">
      <c r="A159" s="1">
        <v>41702</v>
      </c>
    </row>
    <row r="160" spans="1:1" x14ac:dyDescent="0.3">
      <c r="A160" s="1">
        <v>41747</v>
      </c>
    </row>
    <row r="161" spans="1:1" x14ac:dyDescent="0.3">
      <c r="A161" s="1">
        <v>41750</v>
      </c>
    </row>
    <row r="162" spans="1:1" x14ac:dyDescent="0.3">
      <c r="A162" s="1">
        <v>41760</v>
      </c>
    </row>
    <row r="163" spans="1:1" x14ac:dyDescent="0.3">
      <c r="A163" s="1">
        <v>41809</v>
      </c>
    </row>
    <row r="164" spans="1:1" x14ac:dyDescent="0.3">
      <c r="A164" s="1">
        <v>41889</v>
      </c>
    </row>
    <row r="165" spans="1:1" x14ac:dyDescent="0.3">
      <c r="A165" s="1">
        <v>41924</v>
      </c>
    </row>
    <row r="166" spans="1:1" x14ac:dyDescent="0.3">
      <c r="A166" s="1">
        <v>41945</v>
      </c>
    </row>
    <row r="167" spans="1:1" x14ac:dyDescent="0.3">
      <c r="A167" s="1">
        <v>41958</v>
      </c>
    </row>
    <row r="168" spans="1:1" x14ac:dyDescent="0.3">
      <c r="A168" s="1">
        <v>41998</v>
      </c>
    </row>
    <row r="169" spans="1:1" x14ac:dyDescent="0.3">
      <c r="A169" s="1">
        <v>42005</v>
      </c>
    </row>
    <row r="170" spans="1:1" x14ac:dyDescent="0.3">
      <c r="A170" s="1">
        <v>42051</v>
      </c>
    </row>
    <row r="171" spans="1:1" x14ac:dyDescent="0.3">
      <c r="A171" s="1">
        <v>42052</v>
      </c>
    </row>
    <row r="172" spans="1:1" x14ac:dyDescent="0.3">
      <c r="A172" s="1">
        <v>42097</v>
      </c>
    </row>
    <row r="173" spans="1:1" x14ac:dyDescent="0.3">
      <c r="A173" s="1">
        <v>42115</v>
      </c>
    </row>
    <row r="174" spans="1:1" x14ac:dyDescent="0.3">
      <c r="A174" s="1">
        <v>42125</v>
      </c>
    </row>
    <row r="175" spans="1:1" x14ac:dyDescent="0.3">
      <c r="A175" s="1">
        <v>42159</v>
      </c>
    </row>
    <row r="176" spans="1:1" x14ac:dyDescent="0.3">
      <c r="A176" s="1">
        <v>42254</v>
      </c>
    </row>
    <row r="177" spans="1:1" x14ac:dyDescent="0.3">
      <c r="A177" s="1">
        <v>42289</v>
      </c>
    </row>
    <row r="178" spans="1:1" x14ac:dyDescent="0.3">
      <c r="A178" s="1">
        <v>42310</v>
      </c>
    </row>
    <row r="179" spans="1:1" x14ac:dyDescent="0.3">
      <c r="A179" s="1">
        <v>42323</v>
      </c>
    </row>
    <row r="180" spans="1:1" x14ac:dyDescent="0.3">
      <c r="A180" s="1">
        <v>42363</v>
      </c>
    </row>
    <row r="181" spans="1:1" x14ac:dyDescent="0.3">
      <c r="A181" s="1">
        <v>42370</v>
      </c>
    </row>
    <row r="182" spans="1:1" x14ac:dyDescent="0.3">
      <c r="A182" s="1">
        <v>42408</v>
      </c>
    </row>
    <row r="183" spans="1:1" x14ac:dyDescent="0.3">
      <c r="A183" s="1">
        <v>42409</v>
      </c>
    </row>
    <row r="184" spans="1:1" x14ac:dyDescent="0.3">
      <c r="A184" s="1">
        <v>42454</v>
      </c>
    </row>
    <row r="185" spans="1:1" x14ac:dyDescent="0.3">
      <c r="A185" s="1">
        <v>42481</v>
      </c>
    </row>
    <row r="186" spans="1:1" x14ac:dyDescent="0.3">
      <c r="A186" s="1">
        <v>42491</v>
      </c>
    </row>
    <row r="187" spans="1:1" x14ac:dyDescent="0.3">
      <c r="A187" s="1">
        <v>42516</v>
      </c>
    </row>
    <row r="188" spans="1:1" x14ac:dyDescent="0.3">
      <c r="A188" s="1">
        <v>42620</v>
      </c>
    </row>
    <row r="189" spans="1:1" x14ac:dyDescent="0.3">
      <c r="A189" s="1">
        <v>42655</v>
      </c>
    </row>
    <row r="190" spans="1:1" x14ac:dyDescent="0.3">
      <c r="A190" s="1">
        <v>42676</v>
      </c>
    </row>
    <row r="191" spans="1:1" x14ac:dyDescent="0.3">
      <c r="A191" s="1">
        <v>42689</v>
      </c>
    </row>
    <row r="192" spans="1:1" x14ac:dyDescent="0.3">
      <c r="A192" s="1">
        <v>42729</v>
      </c>
    </row>
    <row r="193" spans="1:1" x14ac:dyDescent="0.3">
      <c r="A193" s="1">
        <v>42736</v>
      </c>
    </row>
    <row r="194" spans="1:1" x14ac:dyDescent="0.3">
      <c r="A194" s="1">
        <v>42793</v>
      </c>
    </row>
    <row r="195" spans="1:1" x14ac:dyDescent="0.3">
      <c r="A195" s="1">
        <v>42794</v>
      </c>
    </row>
    <row r="196" spans="1:1" x14ac:dyDescent="0.3">
      <c r="A196" s="1">
        <v>42839</v>
      </c>
    </row>
    <row r="197" spans="1:1" x14ac:dyDescent="0.3">
      <c r="A197" s="1">
        <v>42846</v>
      </c>
    </row>
    <row r="198" spans="1:1" x14ac:dyDescent="0.3">
      <c r="A198" s="1">
        <v>42856</v>
      </c>
    </row>
    <row r="199" spans="1:1" x14ac:dyDescent="0.3">
      <c r="A199" s="1">
        <v>42901</v>
      </c>
    </row>
    <row r="200" spans="1:1" x14ac:dyDescent="0.3">
      <c r="A200" s="1">
        <v>42985</v>
      </c>
    </row>
    <row r="201" spans="1:1" x14ac:dyDescent="0.3">
      <c r="A201" s="1">
        <v>43020</v>
      </c>
    </row>
    <row r="202" spans="1:1" x14ac:dyDescent="0.3">
      <c r="A202" s="1">
        <v>43041</v>
      </c>
    </row>
    <row r="203" spans="1:1" x14ac:dyDescent="0.3">
      <c r="A203" s="1">
        <v>43054</v>
      </c>
    </row>
    <row r="204" spans="1:1" x14ac:dyDescent="0.3">
      <c r="A204" s="1">
        <v>43094</v>
      </c>
    </row>
    <row r="205" spans="1:1" x14ac:dyDescent="0.3">
      <c r="A205" s="1">
        <v>43101</v>
      </c>
    </row>
    <row r="206" spans="1:1" x14ac:dyDescent="0.3">
      <c r="A206" s="1">
        <v>43143</v>
      </c>
    </row>
    <row r="207" spans="1:1" x14ac:dyDescent="0.3">
      <c r="A207" s="1">
        <v>43144</v>
      </c>
    </row>
    <row r="208" spans="1:1" x14ac:dyDescent="0.3">
      <c r="A208" s="1">
        <v>43189</v>
      </c>
    </row>
    <row r="209" spans="1:1" x14ac:dyDescent="0.3">
      <c r="A209" s="1">
        <v>43211</v>
      </c>
    </row>
    <row r="210" spans="1:1" x14ac:dyDescent="0.3">
      <c r="A210" s="1">
        <v>43221</v>
      </c>
    </row>
    <row r="211" spans="1:1" x14ac:dyDescent="0.3">
      <c r="A211" s="1">
        <v>43251</v>
      </c>
    </row>
    <row r="212" spans="1:1" x14ac:dyDescent="0.3">
      <c r="A212" s="1">
        <v>43350</v>
      </c>
    </row>
    <row r="213" spans="1:1" x14ac:dyDescent="0.3">
      <c r="A213" s="1">
        <v>43385</v>
      </c>
    </row>
    <row r="214" spans="1:1" x14ac:dyDescent="0.3">
      <c r="A214" s="1">
        <v>43406</v>
      </c>
    </row>
    <row r="215" spans="1:1" x14ac:dyDescent="0.3">
      <c r="A215" s="1">
        <v>43419</v>
      </c>
    </row>
    <row r="216" spans="1:1" x14ac:dyDescent="0.3">
      <c r="A216" s="1">
        <v>43459</v>
      </c>
    </row>
    <row r="217" spans="1:1" x14ac:dyDescent="0.3">
      <c r="A217" s="1">
        <v>43466</v>
      </c>
    </row>
    <row r="218" spans="1:1" x14ac:dyDescent="0.3">
      <c r="A218" s="1">
        <v>43528</v>
      </c>
    </row>
    <row r="219" spans="1:1" x14ac:dyDescent="0.3">
      <c r="A219" s="1">
        <v>43529</v>
      </c>
    </row>
    <row r="220" spans="1:1" x14ac:dyDescent="0.3">
      <c r="A220" s="1">
        <v>43574</v>
      </c>
    </row>
    <row r="221" spans="1:1" x14ac:dyDescent="0.3">
      <c r="A221" s="1">
        <v>43576</v>
      </c>
    </row>
    <row r="222" spans="1:1" x14ac:dyDescent="0.3">
      <c r="A222" s="1">
        <v>43586</v>
      </c>
    </row>
    <row r="223" spans="1:1" x14ac:dyDescent="0.3">
      <c r="A223" s="1">
        <v>43636</v>
      </c>
    </row>
    <row r="224" spans="1:1" x14ac:dyDescent="0.3">
      <c r="A224" s="1">
        <v>43715</v>
      </c>
    </row>
    <row r="225" spans="1:1" x14ac:dyDescent="0.3">
      <c r="A225" s="1">
        <v>43750</v>
      </c>
    </row>
    <row r="226" spans="1:1" x14ac:dyDescent="0.3">
      <c r="A226" s="1">
        <v>43771</v>
      </c>
    </row>
    <row r="227" spans="1:1" x14ac:dyDescent="0.3">
      <c r="A227" s="1">
        <v>43784</v>
      </c>
    </row>
    <row r="228" spans="1:1" x14ac:dyDescent="0.3">
      <c r="A228" s="1">
        <v>43824</v>
      </c>
    </row>
    <row r="229" spans="1:1" x14ac:dyDescent="0.3">
      <c r="A229" s="1">
        <v>43831</v>
      </c>
    </row>
    <row r="230" spans="1:1" x14ac:dyDescent="0.3">
      <c r="A230" s="1">
        <v>43885</v>
      </c>
    </row>
    <row r="231" spans="1:1" x14ac:dyDescent="0.3">
      <c r="A231" s="1">
        <v>43886</v>
      </c>
    </row>
    <row r="232" spans="1:1" x14ac:dyDescent="0.3">
      <c r="A232" s="1">
        <v>43931</v>
      </c>
    </row>
    <row r="233" spans="1:1" x14ac:dyDescent="0.3">
      <c r="A233" s="1">
        <v>43942</v>
      </c>
    </row>
    <row r="234" spans="1:1" x14ac:dyDescent="0.3">
      <c r="A234" s="1">
        <v>43952</v>
      </c>
    </row>
    <row r="235" spans="1:1" x14ac:dyDescent="0.3">
      <c r="A235" s="1">
        <v>43993</v>
      </c>
    </row>
    <row r="236" spans="1:1" x14ac:dyDescent="0.3">
      <c r="A236" s="1">
        <v>44081</v>
      </c>
    </row>
    <row r="237" spans="1:1" x14ac:dyDescent="0.3">
      <c r="A237" s="1">
        <v>44116</v>
      </c>
    </row>
    <row r="238" spans="1:1" x14ac:dyDescent="0.3">
      <c r="A238" s="1">
        <v>44137</v>
      </c>
    </row>
    <row r="239" spans="1:1" x14ac:dyDescent="0.3">
      <c r="A239" s="1">
        <v>44150</v>
      </c>
    </row>
    <row r="240" spans="1:1" x14ac:dyDescent="0.3">
      <c r="A240" s="1">
        <v>44190</v>
      </c>
    </row>
    <row r="241" spans="1:1" x14ac:dyDescent="0.3">
      <c r="A241" s="1">
        <v>44197</v>
      </c>
    </row>
    <row r="242" spans="1:1" x14ac:dyDescent="0.3">
      <c r="A242" s="1">
        <v>44242</v>
      </c>
    </row>
    <row r="243" spans="1:1" x14ac:dyDescent="0.3">
      <c r="A243" s="1">
        <v>44243</v>
      </c>
    </row>
    <row r="244" spans="1:1" x14ac:dyDescent="0.3">
      <c r="A244" s="1">
        <v>44288</v>
      </c>
    </row>
    <row r="245" spans="1:1" x14ac:dyDescent="0.3">
      <c r="A245" s="1">
        <v>44307</v>
      </c>
    </row>
    <row r="246" spans="1:1" x14ac:dyDescent="0.3">
      <c r="A246" s="1">
        <v>44317</v>
      </c>
    </row>
    <row r="247" spans="1:1" x14ac:dyDescent="0.3">
      <c r="A247" s="1">
        <v>44350</v>
      </c>
    </row>
    <row r="248" spans="1:1" x14ac:dyDescent="0.3">
      <c r="A248" s="1">
        <v>44446</v>
      </c>
    </row>
    <row r="249" spans="1:1" x14ac:dyDescent="0.3">
      <c r="A249" s="1">
        <v>44481</v>
      </c>
    </row>
    <row r="250" spans="1:1" x14ac:dyDescent="0.3">
      <c r="A250" s="1">
        <v>44502</v>
      </c>
    </row>
    <row r="251" spans="1:1" x14ac:dyDescent="0.3">
      <c r="A251" s="1">
        <v>44515</v>
      </c>
    </row>
    <row r="252" spans="1:1" x14ac:dyDescent="0.3">
      <c r="A252" s="1">
        <v>44555</v>
      </c>
    </row>
    <row r="253" spans="1:1" x14ac:dyDescent="0.3">
      <c r="A253" s="1">
        <v>44562</v>
      </c>
    </row>
    <row r="254" spans="1:1" x14ac:dyDescent="0.3">
      <c r="A254" s="1">
        <v>44620</v>
      </c>
    </row>
    <row r="255" spans="1:1" x14ac:dyDescent="0.3">
      <c r="A255" s="1">
        <v>44621</v>
      </c>
    </row>
    <row r="256" spans="1:1" x14ac:dyDescent="0.3">
      <c r="A256" s="1">
        <v>44666</v>
      </c>
    </row>
    <row r="257" spans="1:1" x14ac:dyDescent="0.3">
      <c r="A257" s="1">
        <v>44672</v>
      </c>
    </row>
    <row r="258" spans="1:1" x14ac:dyDescent="0.3">
      <c r="A258" s="1">
        <v>44682</v>
      </c>
    </row>
    <row r="259" spans="1:1" x14ac:dyDescent="0.3">
      <c r="A259" s="1">
        <v>44728</v>
      </c>
    </row>
    <row r="260" spans="1:1" x14ac:dyDescent="0.3">
      <c r="A260" s="1">
        <v>44811</v>
      </c>
    </row>
    <row r="261" spans="1:1" x14ac:dyDescent="0.3">
      <c r="A261" s="1">
        <v>44846</v>
      </c>
    </row>
    <row r="262" spans="1:1" x14ac:dyDescent="0.3">
      <c r="A262" s="1">
        <v>44867</v>
      </c>
    </row>
    <row r="263" spans="1:1" x14ac:dyDescent="0.3">
      <c r="A263" s="1">
        <v>44880</v>
      </c>
    </row>
    <row r="264" spans="1:1" x14ac:dyDescent="0.3">
      <c r="A264" s="1">
        <v>44920</v>
      </c>
    </row>
    <row r="265" spans="1:1" x14ac:dyDescent="0.3">
      <c r="A265" s="1">
        <v>44927</v>
      </c>
    </row>
    <row r="266" spans="1:1" x14ac:dyDescent="0.3">
      <c r="A266" s="1">
        <v>44977</v>
      </c>
    </row>
    <row r="267" spans="1:1" x14ac:dyDescent="0.3">
      <c r="A267" s="1">
        <v>44978</v>
      </c>
    </row>
    <row r="268" spans="1:1" x14ac:dyDescent="0.3">
      <c r="A268" s="1">
        <v>45023</v>
      </c>
    </row>
    <row r="269" spans="1:1" x14ac:dyDescent="0.3">
      <c r="A269" s="1">
        <v>45037</v>
      </c>
    </row>
    <row r="270" spans="1:1" x14ac:dyDescent="0.3">
      <c r="A270" s="1">
        <v>45047</v>
      </c>
    </row>
    <row r="271" spans="1:1" x14ac:dyDescent="0.3">
      <c r="A271" s="1">
        <v>45085</v>
      </c>
    </row>
    <row r="272" spans="1:1" x14ac:dyDescent="0.3">
      <c r="A272" s="1">
        <v>45176</v>
      </c>
    </row>
    <row r="273" spans="1:1" x14ac:dyDescent="0.3">
      <c r="A273" s="1">
        <v>45211</v>
      </c>
    </row>
    <row r="274" spans="1:1" x14ac:dyDescent="0.3">
      <c r="A274" s="1">
        <v>45232</v>
      </c>
    </row>
    <row r="275" spans="1:1" x14ac:dyDescent="0.3">
      <c r="A275" s="1">
        <v>45245</v>
      </c>
    </row>
    <row r="276" spans="1:1" x14ac:dyDescent="0.3">
      <c r="A276" s="1">
        <v>45285</v>
      </c>
    </row>
    <row r="277" spans="1:1" x14ac:dyDescent="0.3">
      <c r="A277" s="1">
        <v>45292</v>
      </c>
    </row>
    <row r="278" spans="1:1" x14ac:dyDescent="0.3">
      <c r="A278" s="1">
        <v>45334</v>
      </c>
    </row>
    <row r="279" spans="1:1" x14ac:dyDescent="0.3">
      <c r="A279" s="1">
        <v>45335</v>
      </c>
    </row>
    <row r="280" spans="1:1" x14ac:dyDescent="0.3">
      <c r="A280" s="1">
        <v>45380</v>
      </c>
    </row>
    <row r="281" spans="1:1" x14ac:dyDescent="0.3">
      <c r="A281" s="1">
        <v>45403</v>
      </c>
    </row>
    <row r="282" spans="1:1" x14ac:dyDescent="0.3">
      <c r="A282" s="1">
        <v>45413</v>
      </c>
    </row>
    <row r="283" spans="1:1" x14ac:dyDescent="0.3">
      <c r="A283" s="1">
        <v>45442</v>
      </c>
    </row>
    <row r="284" spans="1:1" x14ac:dyDescent="0.3">
      <c r="A284" s="1">
        <v>45542</v>
      </c>
    </row>
    <row r="285" spans="1:1" x14ac:dyDescent="0.3">
      <c r="A285" s="1">
        <v>45577</v>
      </c>
    </row>
    <row r="286" spans="1:1" x14ac:dyDescent="0.3">
      <c r="A286" s="1">
        <v>45598</v>
      </c>
    </row>
    <row r="287" spans="1:1" x14ac:dyDescent="0.3">
      <c r="A287" s="1">
        <v>45611</v>
      </c>
    </row>
    <row r="288" spans="1:1" x14ac:dyDescent="0.3">
      <c r="A288" s="1">
        <v>45651</v>
      </c>
    </row>
    <row r="289" spans="1:1" x14ac:dyDescent="0.3">
      <c r="A289" s="1">
        <v>45658</v>
      </c>
    </row>
    <row r="290" spans="1:1" x14ac:dyDescent="0.3">
      <c r="A290" s="1">
        <v>45719</v>
      </c>
    </row>
    <row r="291" spans="1:1" x14ac:dyDescent="0.3">
      <c r="A291" s="1">
        <v>45720</v>
      </c>
    </row>
    <row r="292" spans="1:1" x14ac:dyDescent="0.3">
      <c r="A292" s="1">
        <v>45765</v>
      </c>
    </row>
    <row r="293" spans="1:1" x14ac:dyDescent="0.3">
      <c r="A293" s="1">
        <v>45768</v>
      </c>
    </row>
    <row r="294" spans="1:1" x14ac:dyDescent="0.3">
      <c r="A294" s="1">
        <v>45778</v>
      </c>
    </row>
    <row r="295" spans="1:1" x14ac:dyDescent="0.3">
      <c r="A295" s="1">
        <v>45827</v>
      </c>
    </row>
    <row r="296" spans="1:1" x14ac:dyDescent="0.3">
      <c r="A296" s="1">
        <v>45907</v>
      </c>
    </row>
    <row r="297" spans="1:1" x14ac:dyDescent="0.3">
      <c r="A297" s="1">
        <v>45942</v>
      </c>
    </row>
    <row r="298" spans="1:1" x14ac:dyDescent="0.3">
      <c r="A298" s="1">
        <v>45963</v>
      </c>
    </row>
    <row r="299" spans="1:1" x14ac:dyDescent="0.3">
      <c r="A299" s="1">
        <v>45976</v>
      </c>
    </row>
    <row r="300" spans="1:1" x14ac:dyDescent="0.3">
      <c r="A300" s="1">
        <v>46016</v>
      </c>
    </row>
    <row r="301" spans="1:1" x14ac:dyDescent="0.3">
      <c r="A301" s="1">
        <v>46023</v>
      </c>
    </row>
    <row r="302" spans="1:1" x14ac:dyDescent="0.3">
      <c r="A302" s="1">
        <v>46069</v>
      </c>
    </row>
    <row r="303" spans="1:1" x14ac:dyDescent="0.3">
      <c r="A303" s="1">
        <v>46070</v>
      </c>
    </row>
    <row r="304" spans="1:1" x14ac:dyDescent="0.3">
      <c r="A304" s="1">
        <v>46115</v>
      </c>
    </row>
    <row r="305" spans="1:1" x14ac:dyDescent="0.3">
      <c r="A305" s="1">
        <v>46133</v>
      </c>
    </row>
    <row r="306" spans="1:1" x14ac:dyDescent="0.3">
      <c r="A306" s="1">
        <v>46143</v>
      </c>
    </row>
    <row r="307" spans="1:1" x14ac:dyDescent="0.3">
      <c r="A307" s="1">
        <v>46177</v>
      </c>
    </row>
    <row r="308" spans="1:1" x14ac:dyDescent="0.3">
      <c r="A308" s="1">
        <v>46272</v>
      </c>
    </row>
    <row r="309" spans="1:1" x14ac:dyDescent="0.3">
      <c r="A309" s="1">
        <v>46307</v>
      </c>
    </row>
    <row r="310" spans="1:1" x14ac:dyDescent="0.3">
      <c r="A310" s="1">
        <v>46328</v>
      </c>
    </row>
    <row r="311" spans="1:1" x14ac:dyDescent="0.3">
      <c r="A311" s="1">
        <v>46341</v>
      </c>
    </row>
    <row r="312" spans="1:1" x14ac:dyDescent="0.3">
      <c r="A312" s="1">
        <v>46381</v>
      </c>
    </row>
    <row r="313" spans="1:1" x14ac:dyDescent="0.3">
      <c r="A313" s="1">
        <v>46388</v>
      </c>
    </row>
    <row r="314" spans="1:1" x14ac:dyDescent="0.3">
      <c r="A314" s="1">
        <v>46426</v>
      </c>
    </row>
    <row r="315" spans="1:1" x14ac:dyDescent="0.3">
      <c r="A315" s="1">
        <v>46427</v>
      </c>
    </row>
    <row r="316" spans="1:1" x14ac:dyDescent="0.3">
      <c r="A316" s="1">
        <v>46472</v>
      </c>
    </row>
    <row r="317" spans="1:1" x14ac:dyDescent="0.3">
      <c r="A317" s="1">
        <v>46498</v>
      </c>
    </row>
    <row r="318" spans="1:1" x14ac:dyDescent="0.3">
      <c r="A318" s="1">
        <v>46508</v>
      </c>
    </row>
    <row r="319" spans="1:1" x14ac:dyDescent="0.3">
      <c r="A319" s="1">
        <v>46534</v>
      </c>
    </row>
    <row r="320" spans="1:1" x14ac:dyDescent="0.3">
      <c r="A320" s="1">
        <v>46637</v>
      </c>
    </row>
    <row r="321" spans="1:1" x14ac:dyDescent="0.3">
      <c r="A321" s="1">
        <v>46672</v>
      </c>
    </row>
    <row r="322" spans="1:1" x14ac:dyDescent="0.3">
      <c r="A322" s="1">
        <v>46693</v>
      </c>
    </row>
    <row r="323" spans="1:1" x14ac:dyDescent="0.3">
      <c r="A323" s="1">
        <v>46706</v>
      </c>
    </row>
    <row r="324" spans="1:1" x14ac:dyDescent="0.3">
      <c r="A324" s="1">
        <v>46746</v>
      </c>
    </row>
    <row r="325" spans="1:1" x14ac:dyDescent="0.3">
      <c r="A325" s="1">
        <v>46753</v>
      </c>
    </row>
    <row r="326" spans="1:1" x14ac:dyDescent="0.3">
      <c r="A326" s="1">
        <v>46811</v>
      </c>
    </row>
    <row r="327" spans="1:1" x14ac:dyDescent="0.3">
      <c r="A327" s="1">
        <v>46812</v>
      </c>
    </row>
    <row r="328" spans="1:1" x14ac:dyDescent="0.3">
      <c r="A328" s="1">
        <v>46857</v>
      </c>
    </row>
    <row r="329" spans="1:1" x14ac:dyDescent="0.3">
      <c r="A329" s="1">
        <v>46864</v>
      </c>
    </row>
    <row r="330" spans="1:1" x14ac:dyDescent="0.3">
      <c r="A330" s="1">
        <v>46874</v>
      </c>
    </row>
    <row r="331" spans="1:1" x14ac:dyDescent="0.3">
      <c r="A331" s="1">
        <v>46919</v>
      </c>
    </row>
    <row r="332" spans="1:1" x14ac:dyDescent="0.3">
      <c r="A332" s="1">
        <v>47003</v>
      </c>
    </row>
    <row r="333" spans="1:1" x14ac:dyDescent="0.3">
      <c r="A333" s="1">
        <v>47038</v>
      </c>
    </row>
    <row r="334" spans="1:1" x14ac:dyDescent="0.3">
      <c r="A334" s="1">
        <v>47059</v>
      </c>
    </row>
    <row r="335" spans="1:1" x14ac:dyDescent="0.3">
      <c r="A335" s="1">
        <v>47072</v>
      </c>
    </row>
    <row r="336" spans="1:1" x14ac:dyDescent="0.3">
      <c r="A336" s="1">
        <v>47112</v>
      </c>
    </row>
    <row r="337" spans="1:1" x14ac:dyDescent="0.3">
      <c r="A337" s="1">
        <v>47119</v>
      </c>
    </row>
    <row r="338" spans="1:1" x14ac:dyDescent="0.3">
      <c r="A338" s="1">
        <v>47161</v>
      </c>
    </row>
    <row r="339" spans="1:1" x14ac:dyDescent="0.3">
      <c r="A339" s="1">
        <v>47162</v>
      </c>
    </row>
    <row r="340" spans="1:1" x14ac:dyDescent="0.3">
      <c r="A340" s="1">
        <v>47207</v>
      </c>
    </row>
    <row r="341" spans="1:1" x14ac:dyDescent="0.3">
      <c r="A341" s="1">
        <v>47229</v>
      </c>
    </row>
    <row r="342" spans="1:1" x14ac:dyDescent="0.3">
      <c r="A342" s="1">
        <v>47239</v>
      </c>
    </row>
    <row r="343" spans="1:1" x14ac:dyDescent="0.3">
      <c r="A343" s="1">
        <v>47269</v>
      </c>
    </row>
    <row r="344" spans="1:1" x14ac:dyDescent="0.3">
      <c r="A344" s="1">
        <v>47368</v>
      </c>
    </row>
    <row r="345" spans="1:1" x14ac:dyDescent="0.3">
      <c r="A345" s="1">
        <v>47403</v>
      </c>
    </row>
    <row r="346" spans="1:1" x14ac:dyDescent="0.3">
      <c r="A346" s="1">
        <v>47424</v>
      </c>
    </row>
    <row r="347" spans="1:1" x14ac:dyDescent="0.3">
      <c r="A347" s="1">
        <v>47437</v>
      </c>
    </row>
    <row r="348" spans="1:1" x14ac:dyDescent="0.3">
      <c r="A348" s="1">
        <v>47477</v>
      </c>
    </row>
    <row r="349" spans="1:1" x14ac:dyDescent="0.3">
      <c r="A349" s="1">
        <v>47484</v>
      </c>
    </row>
    <row r="350" spans="1:1" x14ac:dyDescent="0.3">
      <c r="A350" s="1">
        <v>47546</v>
      </c>
    </row>
    <row r="351" spans="1:1" x14ac:dyDescent="0.3">
      <c r="A351" s="1">
        <v>47547</v>
      </c>
    </row>
    <row r="352" spans="1:1" x14ac:dyDescent="0.3">
      <c r="A352" s="1">
        <v>47592</v>
      </c>
    </row>
    <row r="353" spans="1:1" x14ac:dyDescent="0.3">
      <c r="A353" s="1">
        <v>47594</v>
      </c>
    </row>
    <row r="354" spans="1:1" x14ac:dyDescent="0.3">
      <c r="A354" s="1">
        <v>47604</v>
      </c>
    </row>
    <row r="355" spans="1:1" x14ac:dyDescent="0.3">
      <c r="A355" s="1">
        <v>47654</v>
      </c>
    </row>
    <row r="356" spans="1:1" x14ac:dyDescent="0.3">
      <c r="A356" s="1">
        <v>47733</v>
      </c>
    </row>
    <row r="357" spans="1:1" x14ac:dyDescent="0.3">
      <c r="A357" s="1">
        <v>47768</v>
      </c>
    </row>
    <row r="358" spans="1:1" x14ac:dyDescent="0.3">
      <c r="A358" s="1">
        <v>47789</v>
      </c>
    </row>
    <row r="359" spans="1:1" x14ac:dyDescent="0.3">
      <c r="A359" s="1">
        <v>47802</v>
      </c>
    </row>
    <row r="360" spans="1:1" x14ac:dyDescent="0.3">
      <c r="A360" s="1">
        <v>47842</v>
      </c>
    </row>
    <row r="361" spans="1:1" x14ac:dyDescent="0.3">
      <c r="A361" s="1">
        <v>47849</v>
      </c>
    </row>
    <row r="362" spans="1:1" x14ac:dyDescent="0.3">
      <c r="A362" s="1">
        <v>47903</v>
      </c>
    </row>
    <row r="363" spans="1:1" x14ac:dyDescent="0.3">
      <c r="A363" s="1">
        <v>47904</v>
      </c>
    </row>
    <row r="364" spans="1:1" x14ac:dyDescent="0.3">
      <c r="A364" s="1">
        <v>47949</v>
      </c>
    </row>
    <row r="365" spans="1:1" x14ac:dyDescent="0.3">
      <c r="A365" s="1">
        <v>47959</v>
      </c>
    </row>
    <row r="366" spans="1:1" x14ac:dyDescent="0.3">
      <c r="A366" s="1">
        <v>47969</v>
      </c>
    </row>
    <row r="367" spans="1:1" x14ac:dyDescent="0.3">
      <c r="A367" s="1">
        <v>48011</v>
      </c>
    </row>
    <row r="368" spans="1:1" x14ac:dyDescent="0.3">
      <c r="A368" s="1">
        <v>48098</v>
      </c>
    </row>
    <row r="369" spans="1:1" x14ac:dyDescent="0.3">
      <c r="A369" s="1">
        <v>48133</v>
      </c>
    </row>
    <row r="370" spans="1:1" x14ac:dyDescent="0.3">
      <c r="A370" s="1">
        <v>48154</v>
      </c>
    </row>
    <row r="371" spans="1:1" x14ac:dyDescent="0.3">
      <c r="A371" s="1">
        <v>48167</v>
      </c>
    </row>
    <row r="372" spans="1:1" x14ac:dyDescent="0.3">
      <c r="A372" s="1">
        <v>48207</v>
      </c>
    </row>
    <row r="373" spans="1:1" x14ac:dyDescent="0.3">
      <c r="A373" s="1">
        <v>48214</v>
      </c>
    </row>
    <row r="374" spans="1:1" x14ac:dyDescent="0.3">
      <c r="A374" s="1">
        <v>48253</v>
      </c>
    </row>
    <row r="375" spans="1:1" x14ac:dyDescent="0.3">
      <c r="A375" s="1">
        <v>48254</v>
      </c>
    </row>
    <row r="376" spans="1:1" x14ac:dyDescent="0.3">
      <c r="A376" s="1">
        <v>48299</v>
      </c>
    </row>
    <row r="377" spans="1:1" x14ac:dyDescent="0.3">
      <c r="A377" s="1">
        <v>48325</v>
      </c>
    </row>
    <row r="378" spans="1:1" x14ac:dyDescent="0.3">
      <c r="A378" s="1">
        <v>48335</v>
      </c>
    </row>
    <row r="379" spans="1:1" x14ac:dyDescent="0.3">
      <c r="A379" s="1">
        <v>48361</v>
      </c>
    </row>
    <row r="380" spans="1:1" x14ac:dyDescent="0.3">
      <c r="A380" s="1">
        <v>48464</v>
      </c>
    </row>
    <row r="381" spans="1:1" x14ac:dyDescent="0.3">
      <c r="A381" s="1">
        <v>48499</v>
      </c>
    </row>
    <row r="382" spans="1:1" x14ac:dyDescent="0.3">
      <c r="A382" s="1">
        <v>48520</v>
      </c>
    </row>
    <row r="383" spans="1:1" x14ac:dyDescent="0.3">
      <c r="A383" s="1">
        <v>48533</v>
      </c>
    </row>
    <row r="384" spans="1:1" x14ac:dyDescent="0.3">
      <c r="A384" s="1">
        <v>48573</v>
      </c>
    </row>
    <row r="385" spans="1:1" x14ac:dyDescent="0.3">
      <c r="A385" s="1">
        <v>48580</v>
      </c>
    </row>
    <row r="386" spans="1:1" x14ac:dyDescent="0.3">
      <c r="A386" s="1">
        <v>48638</v>
      </c>
    </row>
    <row r="387" spans="1:1" x14ac:dyDescent="0.3">
      <c r="A387" s="1">
        <v>48639</v>
      </c>
    </row>
    <row r="388" spans="1:1" x14ac:dyDescent="0.3">
      <c r="A388" s="1">
        <v>48684</v>
      </c>
    </row>
    <row r="389" spans="1:1" x14ac:dyDescent="0.3">
      <c r="A389" s="1">
        <v>48690</v>
      </c>
    </row>
    <row r="390" spans="1:1" x14ac:dyDescent="0.3">
      <c r="A390" s="1">
        <v>48700</v>
      </c>
    </row>
    <row r="391" spans="1:1" x14ac:dyDescent="0.3">
      <c r="A391" s="1">
        <v>48746</v>
      </c>
    </row>
    <row r="392" spans="1:1" x14ac:dyDescent="0.3">
      <c r="A392" s="1">
        <v>48829</v>
      </c>
    </row>
    <row r="393" spans="1:1" x14ac:dyDescent="0.3">
      <c r="A393" s="1">
        <v>48864</v>
      </c>
    </row>
    <row r="394" spans="1:1" x14ac:dyDescent="0.3">
      <c r="A394" s="1">
        <v>48885</v>
      </c>
    </row>
    <row r="395" spans="1:1" x14ac:dyDescent="0.3">
      <c r="A395" s="1">
        <v>48898</v>
      </c>
    </row>
    <row r="396" spans="1:1" x14ac:dyDescent="0.3">
      <c r="A396" s="1">
        <v>48938</v>
      </c>
    </row>
    <row r="397" spans="1:1" x14ac:dyDescent="0.3">
      <c r="A397" s="1">
        <v>48945</v>
      </c>
    </row>
    <row r="398" spans="1:1" x14ac:dyDescent="0.3">
      <c r="A398" s="1">
        <v>48995</v>
      </c>
    </row>
    <row r="399" spans="1:1" x14ac:dyDescent="0.3">
      <c r="A399" s="1">
        <v>48996</v>
      </c>
    </row>
    <row r="400" spans="1:1" x14ac:dyDescent="0.3">
      <c r="A400" s="1">
        <v>49041</v>
      </c>
    </row>
    <row r="401" spans="1:1" x14ac:dyDescent="0.3">
      <c r="A401" s="1">
        <v>49055</v>
      </c>
    </row>
    <row r="402" spans="1:1" x14ac:dyDescent="0.3">
      <c r="A402" s="1">
        <v>49065</v>
      </c>
    </row>
    <row r="403" spans="1:1" x14ac:dyDescent="0.3">
      <c r="A403" s="1">
        <v>49103</v>
      </c>
    </row>
    <row r="404" spans="1:1" x14ac:dyDescent="0.3">
      <c r="A404" s="1">
        <v>49194</v>
      </c>
    </row>
    <row r="405" spans="1:1" x14ac:dyDescent="0.3">
      <c r="A405" s="1">
        <v>49229</v>
      </c>
    </row>
    <row r="406" spans="1:1" x14ac:dyDescent="0.3">
      <c r="A406" s="1">
        <v>49250</v>
      </c>
    </row>
    <row r="407" spans="1:1" x14ac:dyDescent="0.3">
      <c r="A407" s="1">
        <v>49263</v>
      </c>
    </row>
    <row r="408" spans="1:1" x14ac:dyDescent="0.3">
      <c r="A408" s="1">
        <v>49303</v>
      </c>
    </row>
    <row r="409" spans="1:1" x14ac:dyDescent="0.3">
      <c r="A409" s="1">
        <v>49310</v>
      </c>
    </row>
    <row r="410" spans="1:1" x14ac:dyDescent="0.3">
      <c r="A410" s="1">
        <v>49345</v>
      </c>
    </row>
    <row r="411" spans="1:1" x14ac:dyDescent="0.3">
      <c r="A411" s="1">
        <v>49346</v>
      </c>
    </row>
    <row r="412" spans="1:1" x14ac:dyDescent="0.3">
      <c r="A412" s="1">
        <v>49391</v>
      </c>
    </row>
    <row r="413" spans="1:1" x14ac:dyDescent="0.3">
      <c r="A413" s="1">
        <v>49420</v>
      </c>
    </row>
    <row r="414" spans="1:1" x14ac:dyDescent="0.3">
      <c r="A414" s="1">
        <v>49430</v>
      </c>
    </row>
    <row r="415" spans="1:1" x14ac:dyDescent="0.3">
      <c r="A415" s="1">
        <v>49453</v>
      </c>
    </row>
    <row r="416" spans="1:1" x14ac:dyDescent="0.3">
      <c r="A416" s="1">
        <v>49559</v>
      </c>
    </row>
    <row r="417" spans="1:1" x14ac:dyDescent="0.3">
      <c r="A417" s="1">
        <v>49594</v>
      </c>
    </row>
    <row r="418" spans="1:1" x14ac:dyDescent="0.3">
      <c r="A418" s="1">
        <v>49615</v>
      </c>
    </row>
    <row r="419" spans="1:1" x14ac:dyDescent="0.3">
      <c r="A419" s="1">
        <v>49628</v>
      </c>
    </row>
    <row r="420" spans="1:1" x14ac:dyDescent="0.3">
      <c r="A420" s="1">
        <v>49668</v>
      </c>
    </row>
    <row r="421" spans="1:1" x14ac:dyDescent="0.3">
      <c r="A421" s="1">
        <v>49675</v>
      </c>
    </row>
    <row r="422" spans="1:1" x14ac:dyDescent="0.3">
      <c r="A422" s="1">
        <v>49730</v>
      </c>
    </row>
    <row r="423" spans="1:1" x14ac:dyDescent="0.3">
      <c r="A423" s="1">
        <v>49731</v>
      </c>
    </row>
    <row r="424" spans="1:1" x14ac:dyDescent="0.3">
      <c r="A424" s="1">
        <v>49776</v>
      </c>
    </row>
    <row r="425" spans="1:1" x14ac:dyDescent="0.3">
      <c r="A425" s="1">
        <v>49786</v>
      </c>
    </row>
    <row r="426" spans="1:1" x14ac:dyDescent="0.3">
      <c r="A426" s="1">
        <v>49796</v>
      </c>
    </row>
    <row r="427" spans="1:1" x14ac:dyDescent="0.3">
      <c r="A427" s="1">
        <v>49838</v>
      </c>
    </row>
    <row r="428" spans="1:1" x14ac:dyDescent="0.3">
      <c r="A428" s="1">
        <v>49925</v>
      </c>
    </row>
    <row r="429" spans="1:1" x14ac:dyDescent="0.3">
      <c r="A429" s="1">
        <v>49960</v>
      </c>
    </row>
    <row r="430" spans="1:1" x14ac:dyDescent="0.3">
      <c r="A430" s="1">
        <v>49981</v>
      </c>
    </row>
    <row r="431" spans="1:1" x14ac:dyDescent="0.3">
      <c r="A431" s="1">
        <v>49994</v>
      </c>
    </row>
    <row r="432" spans="1:1" x14ac:dyDescent="0.3">
      <c r="A432" s="1">
        <v>50034</v>
      </c>
    </row>
    <row r="433" spans="1:1" x14ac:dyDescent="0.3">
      <c r="A433" s="1">
        <v>50041</v>
      </c>
    </row>
    <row r="434" spans="1:1" x14ac:dyDescent="0.3">
      <c r="A434" s="1">
        <v>50087</v>
      </c>
    </row>
    <row r="435" spans="1:1" x14ac:dyDescent="0.3">
      <c r="A435" s="1">
        <v>50088</v>
      </c>
    </row>
    <row r="436" spans="1:1" x14ac:dyDescent="0.3">
      <c r="A436" s="1">
        <v>50133</v>
      </c>
    </row>
    <row r="437" spans="1:1" x14ac:dyDescent="0.3">
      <c r="A437" s="1">
        <v>50151</v>
      </c>
    </row>
    <row r="438" spans="1:1" x14ac:dyDescent="0.3">
      <c r="A438" s="1">
        <v>50161</v>
      </c>
    </row>
    <row r="439" spans="1:1" x14ac:dyDescent="0.3">
      <c r="A439" s="1">
        <v>50195</v>
      </c>
    </row>
    <row r="440" spans="1:1" x14ac:dyDescent="0.3">
      <c r="A440" s="1">
        <v>50290</v>
      </c>
    </row>
    <row r="441" spans="1:1" x14ac:dyDescent="0.3">
      <c r="A441" s="1">
        <v>50325</v>
      </c>
    </row>
    <row r="442" spans="1:1" x14ac:dyDescent="0.3">
      <c r="A442" s="1">
        <v>50346</v>
      </c>
    </row>
    <row r="443" spans="1:1" x14ac:dyDescent="0.3">
      <c r="A443" s="1">
        <v>50359</v>
      </c>
    </row>
    <row r="444" spans="1:1" x14ac:dyDescent="0.3">
      <c r="A444" s="1">
        <v>50399</v>
      </c>
    </row>
    <row r="445" spans="1:1" x14ac:dyDescent="0.3">
      <c r="A445" s="1">
        <v>50406</v>
      </c>
    </row>
    <row r="446" spans="1:1" x14ac:dyDescent="0.3">
      <c r="A446" s="1">
        <v>50472</v>
      </c>
    </row>
    <row r="447" spans="1:1" x14ac:dyDescent="0.3">
      <c r="A447" s="1">
        <v>50473</v>
      </c>
    </row>
    <row r="448" spans="1:1" x14ac:dyDescent="0.3">
      <c r="A448" s="1">
        <v>50516</v>
      </c>
    </row>
    <row r="449" spans="1:1" x14ac:dyDescent="0.3">
      <c r="A449" s="1">
        <v>50518</v>
      </c>
    </row>
    <row r="450" spans="1:1" x14ac:dyDescent="0.3">
      <c r="A450" s="1">
        <v>50526</v>
      </c>
    </row>
    <row r="451" spans="1:1" x14ac:dyDescent="0.3">
      <c r="A451" s="1">
        <v>50580</v>
      </c>
    </row>
    <row r="452" spans="1:1" x14ac:dyDescent="0.3">
      <c r="A452" s="1">
        <v>50655</v>
      </c>
    </row>
    <row r="453" spans="1:1" x14ac:dyDescent="0.3">
      <c r="A453" s="1">
        <v>50690</v>
      </c>
    </row>
    <row r="454" spans="1:1" x14ac:dyDescent="0.3">
      <c r="A454" s="1">
        <v>50711</v>
      </c>
    </row>
    <row r="455" spans="1:1" x14ac:dyDescent="0.3">
      <c r="A455" s="1">
        <v>50724</v>
      </c>
    </row>
    <row r="456" spans="1:1" x14ac:dyDescent="0.3">
      <c r="A456" s="1">
        <v>50764</v>
      </c>
    </row>
    <row r="457" spans="1:1" x14ac:dyDescent="0.3">
      <c r="A457" s="1">
        <v>50771</v>
      </c>
    </row>
    <row r="458" spans="1:1" x14ac:dyDescent="0.3">
      <c r="A458" s="1">
        <v>50822</v>
      </c>
    </row>
    <row r="459" spans="1:1" x14ac:dyDescent="0.3">
      <c r="A459" s="1">
        <v>50823</v>
      </c>
    </row>
    <row r="460" spans="1:1" x14ac:dyDescent="0.3">
      <c r="A460" s="1">
        <v>50868</v>
      </c>
    </row>
    <row r="461" spans="1:1" x14ac:dyDescent="0.3">
      <c r="A461" s="1">
        <v>50881</v>
      </c>
    </row>
    <row r="462" spans="1:1" x14ac:dyDescent="0.3">
      <c r="A462" s="1">
        <v>50891</v>
      </c>
    </row>
    <row r="463" spans="1:1" x14ac:dyDescent="0.3">
      <c r="A463" s="1">
        <v>50930</v>
      </c>
    </row>
    <row r="464" spans="1:1" x14ac:dyDescent="0.3">
      <c r="A464" s="1">
        <v>51020</v>
      </c>
    </row>
    <row r="465" spans="1:1" x14ac:dyDescent="0.3">
      <c r="A465" s="1">
        <v>51055</v>
      </c>
    </row>
    <row r="466" spans="1:1" x14ac:dyDescent="0.3">
      <c r="A466" s="1">
        <v>51076</v>
      </c>
    </row>
    <row r="467" spans="1:1" x14ac:dyDescent="0.3">
      <c r="A467" s="1">
        <v>51089</v>
      </c>
    </row>
    <row r="468" spans="1:1" x14ac:dyDescent="0.3">
      <c r="A468" s="1">
        <v>51129</v>
      </c>
    </row>
    <row r="469" spans="1:1" x14ac:dyDescent="0.3">
      <c r="A469" s="1">
        <v>51136</v>
      </c>
    </row>
    <row r="470" spans="1:1" x14ac:dyDescent="0.3">
      <c r="A470" s="1">
        <v>51179</v>
      </c>
    </row>
    <row r="471" spans="1:1" x14ac:dyDescent="0.3">
      <c r="A471" s="1">
        <v>51180</v>
      </c>
    </row>
    <row r="472" spans="1:1" x14ac:dyDescent="0.3">
      <c r="A472" s="1">
        <v>51225</v>
      </c>
    </row>
    <row r="473" spans="1:1" x14ac:dyDescent="0.3">
      <c r="A473" s="1">
        <v>51247</v>
      </c>
    </row>
    <row r="474" spans="1:1" x14ac:dyDescent="0.3">
      <c r="A474" s="1">
        <v>51257</v>
      </c>
    </row>
    <row r="475" spans="1:1" x14ac:dyDescent="0.3">
      <c r="A475" s="1">
        <v>51287</v>
      </c>
    </row>
    <row r="476" spans="1:1" x14ac:dyDescent="0.3">
      <c r="A476" s="1">
        <v>51386</v>
      </c>
    </row>
    <row r="477" spans="1:1" x14ac:dyDescent="0.3">
      <c r="A477" s="1">
        <v>51421</v>
      </c>
    </row>
    <row r="478" spans="1:1" x14ac:dyDescent="0.3">
      <c r="A478" s="1">
        <v>51442</v>
      </c>
    </row>
    <row r="479" spans="1:1" x14ac:dyDescent="0.3">
      <c r="A479" s="1">
        <v>51455</v>
      </c>
    </row>
    <row r="480" spans="1:1" x14ac:dyDescent="0.3">
      <c r="A480" s="1">
        <v>51495</v>
      </c>
    </row>
    <row r="481" spans="1:1" x14ac:dyDescent="0.3">
      <c r="A481" s="1">
        <v>51502</v>
      </c>
    </row>
    <row r="482" spans="1:1" x14ac:dyDescent="0.3">
      <c r="A482" s="1">
        <v>51564</v>
      </c>
    </row>
    <row r="483" spans="1:1" x14ac:dyDescent="0.3">
      <c r="A483" s="1">
        <v>51565</v>
      </c>
    </row>
    <row r="484" spans="1:1" x14ac:dyDescent="0.3">
      <c r="A484" s="1">
        <v>51610</v>
      </c>
    </row>
    <row r="485" spans="1:1" x14ac:dyDescent="0.3">
      <c r="A485" s="1">
        <v>51612</v>
      </c>
    </row>
    <row r="486" spans="1:1" x14ac:dyDescent="0.3">
      <c r="A486" s="1">
        <v>51622</v>
      </c>
    </row>
    <row r="487" spans="1:1" x14ac:dyDescent="0.3">
      <c r="A487" s="1">
        <v>51672</v>
      </c>
    </row>
    <row r="488" spans="1:1" x14ac:dyDescent="0.3">
      <c r="A488" s="1">
        <v>51751</v>
      </c>
    </row>
    <row r="489" spans="1:1" x14ac:dyDescent="0.3">
      <c r="A489" s="1">
        <v>51786</v>
      </c>
    </row>
    <row r="490" spans="1:1" x14ac:dyDescent="0.3">
      <c r="A490" s="1">
        <v>51807</v>
      </c>
    </row>
    <row r="491" spans="1:1" x14ac:dyDescent="0.3">
      <c r="A491" s="1">
        <v>51820</v>
      </c>
    </row>
    <row r="492" spans="1:1" x14ac:dyDescent="0.3">
      <c r="A492" s="1">
        <v>51860</v>
      </c>
    </row>
    <row r="493" spans="1:1" x14ac:dyDescent="0.3">
      <c r="A493" s="1">
        <v>51867</v>
      </c>
    </row>
    <row r="494" spans="1:1" x14ac:dyDescent="0.3">
      <c r="A494" s="1">
        <v>51914</v>
      </c>
    </row>
    <row r="495" spans="1:1" x14ac:dyDescent="0.3">
      <c r="A495" s="1">
        <v>51915</v>
      </c>
    </row>
    <row r="496" spans="1:1" x14ac:dyDescent="0.3">
      <c r="A496" s="1">
        <v>51960</v>
      </c>
    </row>
    <row r="497" spans="1:1" x14ac:dyDescent="0.3">
      <c r="A497" s="1">
        <v>51977</v>
      </c>
    </row>
    <row r="498" spans="1:1" x14ac:dyDescent="0.3">
      <c r="A498" s="1">
        <v>51987</v>
      </c>
    </row>
    <row r="499" spans="1:1" x14ac:dyDescent="0.3">
      <c r="A499" s="1">
        <v>52022</v>
      </c>
    </row>
    <row r="500" spans="1:1" x14ac:dyDescent="0.3">
      <c r="A500" s="1">
        <v>52116</v>
      </c>
    </row>
    <row r="501" spans="1:1" x14ac:dyDescent="0.3">
      <c r="A501" s="1">
        <v>52151</v>
      </c>
    </row>
    <row r="502" spans="1:1" x14ac:dyDescent="0.3">
      <c r="A502" s="1">
        <v>52172</v>
      </c>
    </row>
    <row r="503" spans="1:1" x14ac:dyDescent="0.3">
      <c r="A503" s="1">
        <v>52185</v>
      </c>
    </row>
    <row r="504" spans="1:1" x14ac:dyDescent="0.3">
      <c r="A504" s="1">
        <v>52225</v>
      </c>
    </row>
    <row r="505" spans="1:1" x14ac:dyDescent="0.3">
      <c r="A505" s="1">
        <v>52232</v>
      </c>
    </row>
    <row r="506" spans="1:1" x14ac:dyDescent="0.3">
      <c r="A506" s="1">
        <v>52271</v>
      </c>
    </row>
    <row r="507" spans="1:1" x14ac:dyDescent="0.3">
      <c r="A507" s="1">
        <v>52272</v>
      </c>
    </row>
    <row r="508" spans="1:1" x14ac:dyDescent="0.3">
      <c r="A508" s="1">
        <v>52317</v>
      </c>
    </row>
    <row r="509" spans="1:1" x14ac:dyDescent="0.3">
      <c r="A509" s="1">
        <v>52342</v>
      </c>
    </row>
    <row r="510" spans="1:1" x14ac:dyDescent="0.3">
      <c r="A510" s="1">
        <v>52352</v>
      </c>
    </row>
    <row r="511" spans="1:1" x14ac:dyDescent="0.3">
      <c r="A511" s="1">
        <v>52379</v>
      </c>
    </row>
    <row r="512" spans="1:1" x14ac:dyDescent="0.3">
      <c r="A512" s="1">
        <v>52481</v>
      </c>
    </row>
    <row r="513" spans="1:1" x14ac:dyDescent="0.3">
      <c r="A513" s="1">
        <v>52516</v>
      </c>
    </row>
    <row r="514" spans="1:1" x14ac:dyDescent="0.3">
      <c r="A514" s="1">
        <v>52537</v>
      </c>
    </row>
    <row r="515" spans="1:1" x14ac:dyDescent="0.3">
      <c r="A515" s="1">
        <v>52550</v>
      </c>
    </row>
    <row r="516" spans="1:1" x14ac:dyDescent="0.3">
      <c r="A516" s="1">
        <v>52590</v>
      </c>
    </row>
    <row r="517" spans="1:1" x14ac:dyDescent="0.3">
      <c r="A517" s="1">
        <v>52597</v>
      </c>
    </row>
    <row r="518" spans="1:1" x14ac:dyDescent="0.3">
      <c r="A518" s="1">
        <v>52656</v>
      </c>
    </row>
    <row r="519" spans="1:1" x14ac:dyDescent="0.3">
      <c r="A519" s="1">
        <v>52657</v>
      </c>
    </row>
    <row r="520" spans="1:1" x14ac:dyDescent="0.3">
      <c r="A520" s="1">
        <v>52702</v>
      </c>
    </row>
    <row r="521" spans="1:1" x14ac:dyDescent="0.3">
      <c r="A521" s="1">
        <v>52708</v>
      </c>
    </row>
    <row r="522" spans="1:1" x14ac:dyDescent="0.3">
      <c r="A522" s="1">
        <v>52718</v>
      </c>
    </row>
    <row r="523" spans="1:1" x14ac:dyDescent="0.3">
      <c r="A523" s="1">
        <v>52764</v>
      </c>
    </row>
    <row r="524" spans="1:1" x14ac:dyDescent="0.3">
      <c r="A524" s="1">
        <v>52847</v>
      </c>
    </row>
    <row r="525" spans="1:1" x14ac:dyDescent="0.3">
      <c r="A525" s="1">
        <v>52882</v>
      </c>
    </row>
    <row r="526" spans="1:1" x14ac:dyDescent="0.3">
      <c r="A526" s="1">
        <v>52903</v>
      </c>
    </row>
    <row r="527" spans="1:1" x14ac:dyDescent="0.3">
      <c r="A527" s="1">
        <v>52916</v>
      </c>
    </row>
    <row r="528" spans="1:1" x14ac:dyDescent="0.3">
      <c r="A528" s="1">
        <v>52956</v>
      </c>
    </row>
    <row r="529" spans="1:1" x14ac:dyDescent="0.3">
      <c r="A529" s="1">
        <v>52963</v>
      </c>
    </row>
    <row r="530" spans="1:1" x14ac:dyDescent="0.3">
      <c r="A530" s="1">
        <v>53013</v>
      </c>
    </row>
    <row r="531" spans="1:1" x14ac:dyDescent="0.3">
      <c r="A531" s="1">
        <v>53014</v>
      </c>
    </row>
    <row r="532" spans="1:1" x14ac:dyDescent="0.3">
      <c r="A532" s="1">
        <v>53059</v>
      </c>
    </row>
    <row r="533" spans="1:1" x14ac:dyDescent="0.3">
      <c r="A533" s="1">
        <v>53073</v>
      </c>
    </row>
    <row r="534" spans="1:1" x14ac:dyDescent="0.3">
      <c r="A534" s="1">
        <v>53083</v>
      </c>
    </row>
    <row r="535" spans="1:1" x14ac:dyDescent="0.3">
      <c r="A535" s="1">
        <v>53121</v>
      </c>
    </row>
    <row r="536" spans="1:1" x14ac:dyDescent="0.3">
      <c r="A536" s="1">
        <v>53212</v>
      </c>
    </row>
    <row r="537" spans="1:1" x14ac:dyDescent="0.3">
      <c r="A537" s="1">
        <v>53247</v>
      </c>
    </row>
    <row r="538" spans="1:1" x14ac:dyDescent="0.3">
      <c r="A538" s="1">
        <v>53268</v>
      </c>
    </row>
    <row r="539" spans="1:1" x14ac:dyDescent="0.3">
      <c r="A539" s="1">
        <v>53281</v>
      </c>
    </row>
    <row r="540" spans="1:1" x14ac:dyDescent="0.3">
      <c r="A540" s="1">
        <v>53321</v>
      </c>
    </row>
    <row r="541" spans="1:1" x14ac:dyDescent="0.3">
      <c r="A541" s="1">
        <v>53328</v>
      </c>
    </row>
    <row r="542" spans="1:1" x14ac:dyDescent="0.3">
      <c r="A542" s="1">
        <v>53363</v>
      </c>
    </row>
    <row r="543" spans="1:1" x14ac:dyDescent="0.3">
      <c r="A543" s="1">
        <v>53364</v>
      </c>
    </row>
    <row r="544" spans="1:1" x14ac:dyDescent="0.3">
      <c r="A544" s="1">
        <v>53409</v>
      </c>
    </row>
    <row r="545" spans="1:1" x14ac:dyDescent="0.3">
      <c r="A545" s="1">
        <v>53438</v>
      </c>
    </row>
    <row r="546" spans="1:1" x14ac:dyDescent="0.3">
      <c r="A546" s="1">
        <v>53448</v>
      </c>
    </row>
    <row r="547" spans="1:1" x14ac:dyDescent="0.3">
      <c r="A547" s="1">
        <v>53471</v>
      </c>
    </row>
    <row r="548" spans="1:1" x14ac:dyDescent="0.3">
      <c r="A548" s="1">
        <v>53577</v>
      </c>
    </row>
    <row r="549" spans="1:1" x14ac:dyDescent="0.3">
      <c r="A549" s="1">
        <v>53612</v>
      </c>
    </row>
    <row r="550" spans="1:1" x14ac:dyDescent="0.3">
      <c r="A550" s="1">
        <v>53633</v>
      </c>
    </row>
    <row r="551" spans="1:1" x14ac:dyDescent="0.3">
      <c r="A551" s="1">
        <v>53646</v>
      </c>
    </row>
    <row r="552" spans="1:1" x14ac:dyDescent="0.3">
      <c r="A552" s="1">
        <v>53686</v>
      </c>
    </row>
    <row r="553" spans="1:1" x14ac:dyDescent="0.3">
      <c r="A553" s="1">
        <v>53693</v>
      </c>
    </row>
    <row r="554" spans="1:1" x14ac:dyDescent="0.3">
      <c r="A554" s="1">
        <v>53748</v>
      </c>
    </row>
    <row r="555" spans="1:1" x14ac:dyDescent="0.3">
      <c r="A555" s="1">
        <v>53749</v>
      </c>
    </row>
    <row r="556" spans="1:1" x14ac:dyDescent="0.3">
      <c r="A556" s="1">
        <v>53794</v>
      </c>
    </row>
    <row r="557" spans="1:1" x14ac:dyDescent="0.3">
      <c r="A557" s="1">
        <v>53803</v>
      </c>
    </row>
    <row r="558" spans="1:1" x14ac:dyDescent="0.3">
      <c r="A558" s="1">
        <v>53813</v>
      </c>
    </row>
    <row r="559" spans="1:1" x14ac:dyDescent="0.3">
      <c r="A559" s="1">
        <v>53856</v>
      </c>
    </row>
    <row r="560" spans="1:1" x14ac:dyDescent="0.3">
      <c r="A560" s="1">
        <v>53942</v>
      </c>
    </row>
    <row r="561" spans="1:1" x14ac:dyDescent="0.3">
      <c r="A561" s="1">
        <v>53977</v>
      </c>
    </row>
    <row r="562" spans="1:1" x14ac:dyDescent="0.3">
      <c r="A562" s="1">
        <v>53998</v>
      </c>
    </row>
    <row r="563" spans="1:1" x14ac:dyDescent="0.3">
      <c r="A563" s="1">
        <v>54011</v>
      </c>
    </row>
    <row r="564" spans="1:1" x14ac:dyDescent="0.3">
      <c r="A564" s="1">
        <v>54051</v>
      </c>
    </row>
    <row r="565" spans="1:1" x14ac:dyDescent="0.3">
      <c r="A565" s="1">
        <v>54058</v>
      </c>
    </row>
    <row r="566" spans="1:1" x14ac:dyDescent="0.3">
      <c r="A566" s="1">
        <v>54105</v>
      </c>
    </row>
    <row r="567" spans="1:1" x14ac:dyDescent="0.3">
      <c r="A567" s="1">
        <v>54106</v>
      </c>
    </row>
    <row r="568" spans="1:1" x14ac:dyDescent="0.3">
      <c r="A568" s="1">
        <v>54151</v>
      </c>
    </row>
    <row r="569" spans="1:1" x14ac:dyDescent="0.3">
      <c r="A569" s="1">
        <v>54169</v>
      </c>
    </row>
    <row r="570" spans="1:1" x14ac:dyDescent="0.3">
      <c r="A570" s="1">
        <v>54179</v>
      </c>
    </row>
    <row r="571" spans="1:1" x14ac:dyDescent="0.3">
      <c r="A571" s="1">
        <v>54213</v>
      </c>
    </row>
    <row r="572" spans="1:1" x14ac:dyDescent="0.3">
      <c r="A572" s="1">
        <v>54308</v>
      </c>
    </row>
    <row r="573" spans="1:1" x14ac:dyDescent="0.3">
      <c r="A573" s="1">
        <v>54343</v>
      </c>
    </row>
    <row r="574" spans="1:1" x14ac:dyDescent="0.3">
      <c r="A574" s="1">
        <v>54364</v>
      </c>
    </row>
    <row r="575" spans="1:1" x14ac:dyDescent="0.3">
      <c r="A575" s="1">
        <v>54377</v>
      </c>
    </row>
    <row r="576" spans="1:1" x14ac:dyDescent="0.3">
      <c r="A576" s="1">
        <v>54417</v>
      </c>
    </row>
    <row r="577" spans="1:1" x14ac:dyDescent="0.3">
      <c r="A577" s="1">
        <v>54424</v>
      </c>
    </row>
    <row r="578" spans="1:1" x14ac:dyDescent="0.3">
      <c r="A578" s="1">
        <v>54483</v>
      </c>
    </row>
    <row r="579" spans="1:1" x14ac:dyDescent="0.3">
      <c r="A579" s="1">
        <v>54484</v>
      </c>
    </row>
    <row r="580" spans="1:1" x14ac:dyDescent="0.3">
      <c r="A580" s="1">
        <v>54529</v>
      </c>
    </row>
    <row r="581" spans="1:1" x14ac:dyDescent="0.3">
      <c r="A581" s="1">
        <v>54534</v>
      </c>
    </row>
    <row r="582" spans="1:1" x14ac:dyDescent="0.3">
      <c r="A582" s="1">
        <v>54544</v>
      </c>
    </row>
    <row r="583" spans="1:1" x14ac:dyDescent="0.3">
      <c r="A583" s="1">
        <v>54591</v>
      </c>
    </row>
    <row r="584" spans="1:1" x14ac:dyDescent="0.3">
      <c r="A584" s="1">
        <v>54673</v>
      </c>
    </row>
    <row r="585" spans="1:1" x14ac:dyDescent="0.3">
      <c r="A585" s="1">
        <v>54708</v>
      </c>
    </row>
    <row r="586" spans="1:1" x14ac:dyDescent="0.3">
      <c r="A586" s="1">
        <v>54729</v>
      </c>
    </row>
    <row r="587" spans="1:1" x14ac:dyDescent="0.3">
      <c r="A587" s="1">
        <v>54742</v>
      </c>
    </row>
    <row r="588" spans="1:1" x14ac:dyDescent="0.3">
      <c r="A588" s="1">
        <v>54782</v>
      </c>
    </row>
    <row r="589" spans="1:1" x14ac:dyDescent="0.3">
      <c r="A589" s="1">
        <v>54789</v>
      </c>
    </row>
    <row r="590" spans="1:1" x14ac:dyDescent="0.3">
      <c r="A590" s="1">
        <v>54840</v>
      </c>
    </row>
    <row r="591" spans="1:1" x14ac:dyDescent="0.3">
      <c r="A591" s="1">
        <v>54841</v>
      </c>
    </row>
    <row r="592" spans="1:1" x14ac:dyDescent="0.3">
      <c r="A592" s="1">
        <v>54886</v>
      </c>
    </row>
    <row r="593" spans="1:1" x14ac:dyDescent="0.3">
      <c r="A593" s="1">
        <v>54899</v>
      </c>
    </row>
    <row r="594" spans="1:1" x14ac:dyDescent="0.3">
      <c r="A594" s="1">
        <v>54909</v>
      </c>
    </row>
    <row r="595" spans="1:1" x14ac:dyDescent="0.3">
      <c r="A595" s="1">
        <v>54948</v>
      </c>
    </row>
    <row r="596" spans="1:1" x14ac:dyDescent="0.3">
      <c r="A596" s="1">
        <v>55038</v>
      </c>
    </row>
    <row r="597" spans="1:1" x14ac:dyDescent="0.3">
      <c r="A597" s="1">
        <v>55073</v>
      </c>
    </row>
    <row r="598" spans="1:1" x14ac:dyDescent="0.3">
      <c r="A598" s="1">
        <v>55094</v>
      </c>
    </row>
    <row r="599" spans="1:1" x14ac:dyDescent="0.3">
      <c r="A599" s="1">
        <v>55107</v>
      </c>
    </row>
    <row r="600" spans="1:1" x14ac:dyDescent="0.3">
      <c r="A600" s="1">
        <v>55147</v>
      </c>
    </row>
    <row r="601" spans="1:1" x14ac:dyDescent="0.3">
      <c r="A601" s="1">
        <v>55154</v>
      </c>
    </row>
    <row r="602" spans="1:1" x14ac:dyDescent="0.3">
      <c r="A602" s="1">
        <v>55197</v>
      </c>
    </row>
    <row r="603" spans="1:1" x14ac:dyDescent="0.3">
      <c r="A603" s="1">
        <v>55198</v>
      </c>
    </row>
    <row r="604" spans="1:1" x14ac:dyDescent="0.3">
      <c r="A604" s="1">
        <v>55243</v>
      </c>
    </row>
    <row r="605" spans="1:1" x14ac:dyDescent="0.3">
      <c r="A605" s="1">
        <v>55264</v>
      </c>
    </row>
    <row r="606" spans="1:1" x14ac:dyDescent="0.3">
      <c r="A606" s="1">
        <v>55274</v>
      </c>
    </row>
    <row r="607" spans="1:1" x14ac:dyDescent="0.3">
      <c r="A607" s="1">
        <v>55305</v>
      </c>
    </row>
    <row r="608" spans="1:1" x14ac:dyDescent="0.3">
      <c r="A608" s="1">
        <v>55403</v>
      </c>
    </row>
    <row r="609" spans="1:1" x14ac:dyDescent="0.3">
      <c r="A609" s="1">
        <v>55438</v>
      </c>
    </row>
    <row r="610" spans="1:1" x14ac:dyDescent="0.3">
      <c r="A610" s="1">
        <v>55459</v>
      </c>
    </row>
    <row r="611" spans="1:1" x14ac:dyDescent="0.3">
      <c r="A611" s="1">
        <v>55472</v>
      </c>
    </row>
    <row r="612" spans="1:1" x14ac:dyDescent="0.3">
      <c r="A612" s="1">
        <v>55512</v>
      </c>
    </row>
    <row r="613" spans="1:1" x14ac:dyDescent="0.3">
      <c r="A613" s="1">
        <v>55519</v>
      </c>
    </row>
    <row r="614" spans="1:1" x14ac:dyDescent="0.3">
      <c r="A614" s="1">
        <v>55582</v>
      </c>
    </row>
    <row r="615" spans="1:1" x14ac:dyDescent="0.3">
      <c r="A615" s="1">
        <v>55583</v>
      </c>
    </row>
    <row r="616" spans="1:1" x14ac:dyDescent="0.3">
      <c r="A616" s="1">
        <v>55628</v>
      </c>
    </row>
    <row r="617" spans="1:1" x14ac:dyDescent="0.3">
      <c r="A617" s="1">
        <v>55630</v>
      </c>
    </row>
    <row r="618" spans="1:1" x14ac:dyDescent="0.3">
      <c r="A618" s="1">
        <v>55640</v>
      </c>
    </row>
    <row r="619" spans="1:1" x14ac:dyDescent="0.3">
      <c r="A619" s="1">
        <v>55690</v>
      </c>
    </row>
    <row r="620" spans="1:1" x14ac:dyDescent="0.3">
      <c r="A620" s="1">
        <v>55769</v>
      </c>
    </row>
    <row r="621" spans="1:1" x14ac:dyDescent="0.3">
      <c r="A621" s="1">
        <v>55804</v>
      </c>
    </row>
    <row r="622" spans="1:1" x14ac:dyDescent="0.3">
      <c r="A622" s="1">
        <v>55825</v>
      </c>
    </row>
    <row r="623" spans="1:1" x14ac:dyDescent="0.3">
      <c r="A623" s="1">
        <v>55838</v>
      </c>
    </row>
    <row r="624" spans="1:1" x14ac:dyDescent="0.3">
      <c r="A624" s="1">
        <v>55878</v>
      </c>
    </row>
    <row r="625" spans="1:1" x14ac:dyDescent="0.3">
      <c r="A625" s="1">
        <v>55885</v>
      </c>
    </row>
    <row r="626" spans="1:1" x14ac:dyDescent="0.3">
      <c r="A626" s="1">
        <v>55932</v>
      </c>
    </row>
    <row r="627" spans="1:1" x14ac:dyDescent="0.3">
      <c r="A627" s="1">
        <v>55933</v>
      </c>
    </row>
    <row r="628" spans="1:1" x14ac:dyDescent="0.3">
      <c r="A628" s="1">
        <v>55978</v>
      </c>
    </row>
    <row r="629" spans="1:1" x14ac:dyDescent="0.3">
      <c r="A629" s="1">
        <v>55995</v>
      </c>
    </row>
    <row r="630" spans="1:1" x14ac:dyDescent="0.3">
      <c r="A630" s="1">
        <v>56005</v>
      </c>
    </row>
    <row r="631" spans="1:1" x14ac:dyDescent="0.3">
      <c r="A631" s="1">
        <v>56040</v>
      </c>
    </row>
    <row r="632" spans="1:1" x14ac:dyDescent="0.3">
      <c r="A632" s="1">
        <v>56134</v>
      </c>
    </row>
    <row r="633" spans="1:1" x14ac:dyDescent="0.3">
      <c r="A633" s="1">
        <v>56169</v>
      </c>
    </row>
    <row r="634" spans="1:1" x14ac:dyDescent="0.3">
      <c r="A634" s="1">
        <v>56190</v>
      </c>
    </row>
    <row r="635" spans="1:1" x14ac:dyDescent="0.3">
      <c r="A635" s="1">
        <v>56203</v>
      </c>
    </row>
    <row r="636" spans="1:1" x14ac:dyDescent="0.3">
      <c r="A636" s="1">
        <v>56243</v>
      </c>
    </row>
    <row r="637" spans="1:1" x14ac:dyDescent="0.3">
      <c r="A637" s="1">
        <v>56250</v>
      </c>
    </row>
    <row r="638" spans="1:1" x14ac:dyDescent="0.3">
      <c r="A638" s="1">
        <v>56289</v>
      </c>
    </row>
    <row r="639" spans="1:1" x14ac:dyDescent="0.3">
      <c r="A639" s="1">
        <v>56290</v>
      </c>
    </row>
    <row r="640" spans="1:1" x14ac:dyDescent="0.3">
      <c r="A640" s="1">
        <v>56335</v>
      </c>
    </row>
    <row r="641" spans="1:1" x14ac:dyDescent="0.3">
      <c r="A641" s="1">
        <v>56360</v>
      </c>
    </row>
    <row r="642" spans="1:1" x14ac:dyDescent="0.3">
      <c r="A642" s="1">
        <v>56370</v>
      </c>
    </row>
    <row r="643" spans="1:1" x14ac:dyDescent="0.3">
      <c r="A643" s="1">
        <v>56397</v>
      </c>
    </row>
    <row r="644" spans="1:1" x14ac:dyDescent="0.3">
      <c r="A644" s="1">
        <v>56499</v>
      </c>
    </row>
    <row r="645" spans="1:1" x14ac:dyDescent="0.3">
      <c r="A645" s="1">
        <v>56534</v>
      </c>
    </row>
    <row r="646" spans="1:1" x14ac:dyDescent="0.3">
      <c r="A646" s="1">
        <v>56555</v>
      </c>
    </row>
    <row r="647" spans="1:1" x14ac:dyDescent="0.3">
      <c r="A647" s="1">
        <v>56568</v>
      </c>
    </row>
    <row r="648" spans="1:1" x14ac:dyDescent="0.3">
      <c r="A648" s="1">
        <v>56608</v>
      </c>
    </row>
    <row r="649" spans="1:1" x14ac:dyDescent="0.3">
      <c r="A649" s="1">
        <v>56615</v>
      </c>
    </row>
    <row r="650" spans="1:1" x14ac:dyDescent="0.3">
      <c r="A650" s="1">
        <v>56674</v>
      </c>
    </row>
    <row r="651" spans="1:1" x14ac:dyDescent="0.3">
      <c r="A651" s="1">
        <v>56675</v>
      </c>
    </row>
    <row r="652" spans="1:1" x14ac:dyDescent="0.3">
      <c r="A652" s="1">
        <v>56720</v>
      </c>
    </row>
    <row r="653" spans="1:1" x14ac:dyDescent="0.3">
      <c r="A653" s="1">
        <v>56725</v>
      </c>
    </row>
    <row r="654" spans="1:1" x14ac:dyDescent="0.3">
      <c r="A654" s="1">
        <v>56735</v>
      </c>
    </row>
    <row r="655" spans="1:1" x14ac:dyDescent="0.3">
      <c r="A655" s="1">
        <v>56782</v>
      </c>
    </row>
    <row r="656" spans="1:1" x14ac:dyDescent="0.3">
      <c r="A656" s="1">
        <v>56864</v>
      </c>
    </row>
    <row r="657" spans="1:1" x14ac:dyDescent="0.3">
      <c r="A657" s="1">
        <v>56899</v>
      </c>
    </row>
    <row r="658" spans="1:1" x14ac:dyDescent="0.3">
      <c r="A658" s="1">
        <v>56920</v>
      </c>
    </row>
    <row r="659" spans="1:1" x14ac:dyDescent="0.3">
      <c r="A659" s="1">
        <v>56933</v>
      </c>
    </row>
    <row r="660" spans="1:1" x14ac:dyDescent="0.3">
      <c r="A660" s="1">
        <v>56973</v>
      </c>
    </row>
    <row r="661" spans="1:1" x14ac:dyDescent="0.3">
      <c r="A661" s="1">
        <v>56980</v>
      </c>
    </row>
    <row r="662" spans="1:1" x14ac:dyDescent="0.3">
      <c r="A662" s="1">
        <v>57024</v>
      </c>
    </row>
    <row r="663" spans="1:1" x14ac:dyDescent="0.3">
      <c r="A663" s="1">
        <v>57025</v>
      </c>
    </row>
    <row r="664" spans="1:1" x14ac:dyDescent="0.3">
      <c r="A664" s="1">
        <v>57070</v>
      </c>
    </row>
    <row r="665" spans="1:1" x14ac:dyDescent="0.3">
      <c r="A665" s="1">
        <v>57091</v>
      </c>
    </row>
    <row r="666" spans="1:1" x14ac:dyDescent="0.3">
      <c r="A666" s="1">
        <v>57101</v>
      </c>
    </row>
    <row r="667" spans="1:1" x14ac:dyDescent="0.3">
      <c r="A667" s="1">
        <v>57132</v>
      </c>
    </row>
    <row r="668" spans="1:1" x14ac:dyDescent="0.3">
      <c r="A668" s="1">
        <v>57230</v>
      </c>
    </row>
    <row r="669" spans="1:1" x14ac:dyDescent="0.3">
      <c r="A669" s="1">
        <v>57265</v>
      </c>
    </row>
    <row r="670" spans="1:1" x14ac:dyDescent="0.3">
      <c r="A670" s="1">
        <v>57286</v>
      </c>
    </row>
    <row r="671" spans="1:1" x14ac:dyDescent="0.3">
      <c r="A671" s="1">
        <v>57299</v>
      </c>
    </row>
    <row r="672" spans="1:1" x14ac:dyDescent="0.3">
      <c r="A672" s="1">
        <v>57339</v>
      </c>
    </row>
    <row r="673" spans="1:1" x14ac:dyDescent="0.3">
      <c r="A673" s="1">
        <v>57346</v>
      </c>
    </row>
    <row r="674" spans="1:1" x14ac:dyDescent="0.3">
      <c r="A674" s="1">
        <v>57409</v>
      </c>
    </row>
    <row r="675" spans="1:1" x14ac:dyDescent="0.3">
      <c r="A675" s="1">
        <v>57410</v>
      </c>
    </row>
    <row r="676" spans="1:1" x14ac:dyDescent="0.3">
      <c r="A676" s="1">
        <v>57455</v>
      </c>
    </row>
    <row r="677" spans="1:1" x14ac:dyDescent="0.3">
      <c r="A677" s="1">
        <v>57456</v>
      </c>
    </row>
    <row r="678" spans="1:1" x14ac:dyDescent="0.3">
      <c r="A678" s="1">
        <v>57466</v>
      </c>
    </row>
    <row r="679" spans="1:1" x14ac:dyDescent="0.3">
      <c r="A679" s="1">
        <v>57517</v>
      </c>
    </row>
    <row r="680" spans="1:1" x14ac:dyDescent="0.3">
      <c r="A680" s="1">
        <v>57595</v>
      </c>
    </row>
    <row r="681" spans="1:1" x14ac:dyDescent="0.3">
      <c r="A681" s="1">
        <v>57630</v>
      </c>
    </row>
    <row r="682" spans="1:1" x14ac:dyDescent="0.3">
      <c r="A682" s="1">
        <v>57651</v>
      </c>
    </row>
    <row r="683" spans="1:1" x14ac:dyDescent="0.3">
      <c r="A683" s="1">
        <v>57664</v>
      </c>
    </row>
    <row r="684" spans="1:1" x14ac:dyDescent="0.3">
      <c r="A684" s="1">
        <v>57704</v>
      </c>
    </row>
    <row r="685" spans="1:1" x14ac:dyDescent="0.3">
      <c r="A685" s="1">
        <v>57711</v>
      </c>
    </row>
    <row r="686" spans="1:1" x14ac:dyDescent="0.3">
      <c r="A686" s="1">
        <v>57766</v>
      </c>
    </row>
    <row r="687" spans="1:1" x14ac:dyDescent="0.3">
      <c r="A687" s="1">
        <v>57767</v>
      </c>
    </row>
    <row r="688" spans="1:1" x14ac:dyDescent="0.3">
      <c r="A688" s="1">
        <v>57812</v>
      </c>
    </row>
    <row r="689" spans="1:1" x14ac:dyDescent="0.3">
      <c r="A689" s="1">
        <v>57821</v>
      </c>
    </row>
    <row r="690" spans="1:1" x14ac:dyDescent="0.3">
      <c r="A690" s="1">
        <v>57831</v>
      </c>
    </row>
    <row r="691" spans="1:1" x14ac:dyDescent="0.3">
      <c r="A691" s="1">
        <v>57874</v>
      </c>
    </row>
    <row r="692" spans="1:1" x14ac:dyDescent="0.3">
      <c r="A692" s="1">
        <v>57960</v>
      </c>
    </row>
    <row r="693" spans="1:1" x14ac:dyDescent="0.3">
      <c r="A693" s="1">
        <v>57995</v>
      </c>
    </row>
    <row r="694" spans="1:1" x14ac:dyDescent="0.3">
      <c r="A694" s="1">
        <v>58016</v>
      </c>
    </row>
    <row r="695" spans="1:1" x14ac:dyDescent="0.3">
      <c r="A695" s="1">
        <v>58029</v>
      </c>
    </row>
    <row r="696" spans="1:1" x14ac:dyDescent="0.3">
      <c r="A696" s="1">
        <v>58069</v>
      </c>
    </row>
    <row r="697" spans="1:1" x14ac:dyDescent="0.3">
      <c r="A697" s="1">
        <v>58076</v>
      </c>
    </row>
    <row r="698" spans="1:1" x14ac:dyDescent="0.3">
      <c r="A698" s="1">
        <v>58116</v>
      </c>
    </row>
    <row r="699" spans="1:1" x14ac:dyDescent="0.3">
      <c r="A699" s="1">
        <v>58117</v>
      </c>
    </row>
    <row r="700" spans="1:1" x14ac:dyDescent="0.3">
      <c r="A700" s="1">
        <v>58162</v>
      </c>
    </row>
    <row r="701" spans="1:1" x14ac:dyDescent="0.3">
      <c r="A701" s="1">
        <v>58186</v>
      </c>
    </row>
    <row r="702" spans="1:1" x14ac:dyDescent="0.3">
      <c r="A702" s="1">
        <v>58196</v>
      </c>
    </row>
    <row r="703" spans="1:1" x14ac:dyDescent="0.3">
      <c r="A703" s="1">
        <v>58224</v>
      </c>
    </row>
    <row r="704" spans="1:1" x14ac:dyDescent="0.3">
      <c r="A704" s="1">
        <v>58325</v>
      </c>
    </row>
    <row r="705" spans="1:1" x14ac:dyDescent="0.3">
      <c r="A705" s="1">
        <v>58360</v>
      </c>
    </row>
    <row r="706" spans="1:1" x14ac:dyDescent="0.3">
      <c r="A706" s="1">
        <v>58381</v>
      </c>
    </row>
    <row r="707" spans="1:1" x14ac:dyDescent="0.3">
      <c r="A707" s="1">
        <v>58394</v>
      </c>
    </row>
    <row r="708" spans="1:1" x14ac:dyDescent="0.3">
      <c r="A708" s="1">
        <v>58434</v>
      </c>
    </row>
    <row r="709" spans="1:1" x14ac:dyDescent="0.3">
      <c r="A709" s="1">
        <v>58441</v>
      </c>
    </row>
    <row r="710" spans="1:1" x14ac:dyDescent="0.3">
      <c r="A710" s="1">
        <v>58501</v>
      </c>
    </row>
    <row r="711" spans="1:1" x14ac:dyDescent="0.3">
      <c r="A711" s="1">
        <v>58502</v>
      </c>
    </row>
    <row r="712" spans="1:1" x14ac:dyDescent="0.3">
      <c r="A712" s="1">
        <v>58547</v>
      </c>
    </row>
    <row r="713" spans="1:1" x14ac:dyDescent="0.3">
      <c r="A713" s="1">
        <v>58552</v>
      </c>
    </row>
    <row r="714" spans="1:1" x14ac:dyDescent="0.3">
      <c r="A714" s="1">
        <v>58562</v>
      </c>
    </row>
    <row r="715" spans="1:1" x14ac:dyDescent="0.3">
      <c r="A715" s="1">
        <v>58609</v>
      </c>
    </row>
    <row r="716" spans="1:1" x14ac:dyDescent="0.3">
      <c r="A716" s="1">
        <v>58691</v>
      </c>
    </row>
    <row r="717" spans="1:1" x14ac:dyDescent="0.3">
      <c r="A717" s="1">
        <v>58726</v>
      </c>
    </row>
    <row r="718" spans="1:1" x14ac:dyDescent="0.3">
      <c r="A718" s="1">
        <v>58747</v>
      </c>
    </row>
    <row r="719" spans="1:1" x14ac:dyDescent="0.3">
      <c r="A719" s="1">
        <v>58760</v>
      </c>
    </row>
    <row r="720" spans="1:1" x14ac:dyDescent="0.3">
      <c r="A720" s="1">
        <v>58800</v>
      </c>
    </row>
    <row r="721" spans="1:1" x14ac:dyDescent="0.3">
      <c r="A721" s="1">
        <v>58807</v>
      </c>
    </row>
    <row r="722" spans="1:1" x14ac:dyDescent="0.3">
      <c r="A722" s="1">
        <v>58858</v>
      </c>
    </row>
    <row r="723" spans="1:1" x14ac:dyDescent="0.3">
      <c r="A723" s="1">
        <v>58859</v>
      </c>
    </row>
    <row r="724" spans="1:1" x14ac:dyDescent="0.3">
      <c r="A724" s="1">
        <v>58904</v>
      </c>
    </row>
    <row r="725" spans="1:1" x14ac:dyDescent="0.3">
      <c r="A725" s="1">
        <v>58917</v>
      </c>
    </row>
    <row r="726" spans="1:1" x14ac:dyDescent="0.3">
      <c r="A726" s="1">
        <v>58927</v>
      </c>
    </row>
    <row r="727" spans="1:1" x14ac:dyDescent="0.3">
      <c r="A727" s="1">
        <v>58966</v>
      </c>
    </row>
    <row r="728" spans="1:1" x14ac:dyDescent="0.3">
      <c r="A728" s="1">
        <v>59056</v>
      </c>
    </row>
    <row r="729" spans="1:1" x14ac:dyDescent="0.3">
      <c r="A729" s="1">
        <v>59091</v>
      </c>
    </row>
    <row r="730" spans="1:1" x14ac:dyDescent="0.3">
      <c r="A730" s="1">
        <v>59112</v>
      </c>
    </row>
    <row r="731" spans="1:1" x14ac:dyDescent="0.3">
      <c r="A731" s="1">
        <v>59125</v>
      </c>
    </row>
    <row r="732" spans="1:1" x14ac:dyDescent="0.3">
      <c r="A732" s="1">
        <v>59165</v>
      </c>
    </row>
    <row r="733" spans="1:1" x14ac:dyDescent="0.3">
      <c r="A733" s="1">
        <v>59172</v>
      </c>
    </row>
    <row r="734" spans="1:1" x14ac:dyDescent="0.3">
      <c r="A734" s="1">
        <v>59208</v>
      </c>
    </row>
    <row r="735" spans="1:1" x14ac:dyDescent="0.3">
      <c r="A735" s="1">
        <v>59209</v>
      </c>
    </row>
    <row r="736" spans="1:1" x14ac:dyDescent="0.3">
      <c r="A736" s="1">
        <v>59254</v>
      </c>
    </row>
    <row r="737" spans="1:1" x14ac:dyDescent="0.3">
      <c r="A737" s="1">
        <v>59282</v>
      </c>
    </row>
    <row r="738" spans="1:1" x14ac:dyDescent="0.3">
      <c r="A738" s="1">
        <v>59292</v>
      </c>
    </row>
    <row r="739" spans="1:1" x14ac:dyDescent="0.3">
      <c r="A739" s="1">
        <v>59316</v>
      </c>
    </row>
    <row r="740" spans="1:1" x14ac:dyDescent="0.3">
      <c r="A740" s="1">
        <v>59421</v>
      </c>
    </row>
    <row r="741" spans="1:1" x14ac:dyDescent="0.3">
      <c r="A741" s="1">
        <v>59456</v>
      </c>
    </row>
    <row r="742" spans="1:1" x14ac:dyDescent="0.3">
      <c r="A742" s="1">
        <v>59477</v>
      </c>
    </row>
    <row r="743" spans="1:1" x14ac:dyDescent="0.3">
      <c r="A743" s="1">
        <v>59490</v>
      </c>
    </row>
    <row r="744" spans="1:1" x14ac:dyDescent="0.3">
      <c r="A744" s="1">
        <v>59530</v>
      </c>
    </row>
    <row r="745" spans="1:1" x14ac:dyDescent="0.3">
      <c r="A745" s="1">
        <v>59537</v>
      </c>
    </row>
    <row r="746" spans="1:1" x14ac:dyDescent="0.3">
      <c r="A746" s="1">
        <v>59593</v>
      </c>
    </row>
    <row r="747" spans="1:1" x14ac:dyDescent="0.3">
      <c r="A747" s="1">
        <v>59594</v>
      </c>
    </row>
    <row r="748" spans="1:1" x14ac:dyDescent="0.3">
      <c r="A748" s="1">
        <v>59639</v>
      </c>
    </row>
    <row r="749" spans="1:1" x14ac:dyDescent="0.3">
      <c r="A749" s="1">
        <v>59647</v>
      </c>
    </row>
    <row r="750" spans="1:1" x14ac:dyDescent="0.3">
      <c r="A750" s="1">
        <v>59657</v>
      </c>
    </row>
    <row r="751" spans="1:1" x14ac:dyDescent="0.3">
      <c r="A751" s="1">
        <v>59701</v>
      </c>
    </row>
    <row r="752" spans="1:1" x14ac:dyDescent="0.3">
      <c r="A752" s="1">
        <v>59786</v>
      </c>
    </row>
    <row r="753" spans="1:1" x14ac:dyDescent="0.3">
      <c r="A753" s="1">
        <v>59821</v>
      </c>
    </row>
    <row r="754" spans="1:1" x14ac:dyDescent="0.3">
      <c r="A754" s="1">
        <v>59842</v>
      </c>
    </row>
    <row r="755" spans="1:1" x14ac:dyDescent="0.3">
      <c r="A755" s="1">
        <v>59855</v>
      </c>
    </row>
    <row r="756" spans="1:1" x14ac:dyDescent="0.3">
      <c r="A756" s="1">
        <v>59895</v>
      </c>
    </row>
    <row r="757" spans="1:1" x14ac:dyDescent="0.3">
      <c r="A757" s="1">
        <v>59902</v>
      </c>
    </row>
    <row r="758" spans="1:1" x14ac:dyDescent="0.3">
      <c r="A758" s="1">
        <v>59950</v>
      </c>
    </row>
    <row r="759" spans="1:1" x14ac:dyDescent="0.3">
      <c r="A759" s="1">
        <v>59951</v>
      </c>
    </row>
    <row r="760" spans="1:1" x14ac:dyDescent="0.3">
      <c r="A760" s="1">
        <v>59996</v>
      </c>
    </row>
    <row r="761" spans="1:1" x14ac:dyDescent="0.3">
      <c r="A761" s="1">
        <v>60013</v>
      </c>
    </row>
    <row r="762" spans="1:1" x14ac:dyDescent="0.3">
      <c r="A762" s="1">
        <v>60023</v>
      </c>
    </row>
    <row r="763" spans="1:1" x14ac:dyDescent="0.3">
      <c r="A763" s="1">
        <v>60058</v>
      </c>
    </row>
    <row r="764" spans="1:1" x14ac:dyDescent="0.3">
      <c r="A764" s="1">
        <v>60152</v>
      </c>
    </row>
    <row r="765" spans="1:1" x14ac:dyDescent="0.3">
      <c r="A765" s="1">
        <v>60187</v>
      </c>
    </row>
    <row r="766" spans="1:1" x14ac:dyDescent="0.3">
      <c r="A766" s="1">
        <v>60208</v>
      </c>
    </row>
    <row r="767" spans="1:1" x14ac:dyDescent="0.3">
      <c r="A767" s="1">
        <v>60221</v>
      </c>
    </row>
    <row r="768" spans="1:1" x14ac:dyDescent="0.3">
      <c r="A768" s="1">
        <v>60261</v>
      </c>
    </row>
    <row r="769" spans="1:1" x14ac:dyDescent="0.3">
      <c r="A769" s="1">
        <v>60268</v>
      </c>
    </row>
    <row r="770" spans="1:1" x14ac:dyDescent="0.3">
      <c r="A770" s="1">
        <v>60307</v>
      </c>
    </row>
    <row r="771" spans="1:1" x14ac:dyDescent="0.3">
      <c r="A771" s="1">
        <v>60308</v>
      </c>
    </row>
    <row r="772" spans="1:1" x14ac:dyDescent="0.3">
      <c r="A772" s="1">
        <v>60353</v>
      </c>
    </row>
    <row r="773" spans="1:1" x14ac:dyDescent="0.3">
      <c r="A773" s="1">
        <v>60378</v>
      </c>
    </row>
    <row r="774" spans="1:1" x14ac:dyDescent="0.3">
      <c r="A774" s="1">
        <v>60388</v>
      </c>
    </row>
    <row r="775" spans="1:1" x14ac:dyDescent="0.3">
      <c r="A775" s="1">
        <v>60415</v>
      </c>
    </row>
    <row r="776" spans="1:1" x14ac:dyDescent="0.3">
      <c r="A776" s="1">
        <v>60517</v>
      </c>
    </row>
    <row r="777" spans="1:1" x14ac:dyDescent="0.3">
      <c r="A777" s="1">
        <v>60552</v>
      </c>
    </row>
    <row r="778" spans="1:1" x14ac:dyDescent="0.3">
      <c r="A778" s="1">
        <v>60573</v>
      </c>
    </row>
    <row r="779" spans="1:1" x14ac:dyDescent="0.3">
      <c r="A779" s="1">
        <v>60586</v>
      </c>
    </row>
    <row r="780" spans="1:1" x14ac:dyDescent="0.3">
      <c r="A780" s="1">
        <v>60626</v>
      </c>
    </row>
    <row r="781" spans="1:1" x14ac:dyDescent="0.3">
      <c r="A781" s="1">
        <v>60633</v>
      </c>
    </row>
    <row r="782" spans="1:1" x14ac:dyDescent="0.3">
      <c r="A782" s="1">
        <v>60685</v>
      </c>
    </row>
    <row r="783" spans="1:1" x14ac:dyDescent="0.3">
      <c r="A783" s="1">
        <v>60686</v>
      </c>
    </row>
    <row r="784" spans="1:1" x14ac:dyDescent="0.3">
      <c r="A784" s="1">
        <v>60731</v>
      </c>
    </row>
    <row r="785" spans="1:1" x14ac:dyDescent="0.3">
      <c r="A785" s="1">
        <v>60743</v>
      </c>
    </row>
    <row r="786" spans="1:1" x14ac:dyDescent="0.3">
      <c r="A786" s="1">
        <v>60753</v>
      </c>
    </row>
    <row r="787" spans="1:1" x14ac:dyDescent="0.3">
      <c r="A787" s="1">
        <v>60793</v>
      </c>
    </row>
    <row r="788" spans="1:1" x14ac:dyDescent="0.3">
      <c r="A788" s="1">
        <v>60882</v>
      </c>
    </row>
    <row r="789" spans="1:1" x14ac:dyDescent="0.3">
      <c r="A789" s="1">
        <v>60917</v>
      </c>
    </row>
    <row r="790" spans="1:1" x14ac:dyDescent="0.3">
      <c r="A790" s="1">
        <v>60938</v>
      </c>
    </row>
    <row r="791" spans="1:1" x14ac:dyDescent="0.3">
      <c r="A791" s="1">
        <v>60951</v>
      </c>
    </row>
    <row r="792" spans="1:1" x14ac:dyDescent="0.3">
      <c r="A792" s="1">
        <v>60991</v>
      </c>
    </row>
    <row r="793" spans="1:1" x14ac:dyDescent="0.3">
      <c r="A793" s="1">
        <v>60998</v>
      </c>
    </row>
    <row r="794" spans="1:1" x14ac:dyDescent="0.3">
      <c r="A794" s="1">
        <v>61042</v>
      </c>
    </row>
    <row r="795" spans="1:1" x14ac:dyDescent="0.3">
      <c r="A795" s="1">
        <v>61043</v>
      </c>
    </row>
    <row r="796" spans="1:1" x14ac:dyDescent="0.3">
      <c r="A796" s="1">
        <v>61088</v>
      </c>
    </row>
    <row r="797" spans="1:1" x14ac:dyDescent="0.3">
      <c r="A797" s="1">
        <v>61108</v>
      </c>
    </row>
    <row r="798" spans="1:1" x14ac:dyDescent="0.3">
      <c r="A798" s="1">
        <v>61118</v>
      </c>
    </row>
    <row r="799" spans="1:1" x14ac:dyDescent="0.3">
      <c r="A799" s="1">
        <v>61150</v>
      </c>
    </row>
    <row r="800" spans="1:1" x14ac:dyDescent="0.3">
      <c r="A800" s="1">
        <v>61247</v>
      </c>
    </row>
    <row r="801" spans="1:1" x14ac:dyDescent="0.3">
      <c r="A801" s="1">
        <v>61282</v>
      </c>
    </row>
    <row r="802" spans="1:1" x14ac:dyDescent="0.3">
      <c r="A802" s="1">
        <v>61303</v>
      </c>
    </row>
    <row r="803" spans="1:1" x14ac:dyDescent="0.3">
      <c r="A803" s="1">
        <v>61316</v>
      </c>
    </row>
    <row r="804" spans="1:1" x14ac:dyDescent="0.3">
      <c r="A804" s="1">
        <v>61356</v>
      </c>
    </row>
    <row r="805" spans="1:1" x14ac:dyDescent="0.3">
      <c r="A805" s="1">
        <v>61363</v>
      </c>
    </row>
    <row r="806" spans="1:1" x14ac:dyDescent="0.3">
      <c r="A806" s="1">
        <v>61427</v>
      </c>
    </row>
    <row r="807" spans="1:1" x14ac:dyDescent="0.3">
      <c r="A807" s="1">
        <v>61428</v>
      </c>
    </row>
    <row r="808" spans="1:1" x14ac:dyDescent="0.3">
      <c r="A808" s="1">
        <v>61473</v>
      </c>
    </row>
    <row r="809" spans="1:1" x14ac:dyDescent="0.3">
      <c r="A809" s="1">
        <v>61474</v>
      </c>
    </row>
    <row r="810" spans="1:1" x14ac:dyDescent="0.3">
      <c r="A810" s="1">
        <v>61484</v>
      </c>
    </row>
    <row r="811" spans="1:1" x14ac:dyDescent="0.3">
      <c r="A811" s="1">
        <v>61535</v>
      </c>
    </row>
    <row r="812" spans="1:1" x14ac:dyDescent="0.3">
      <c r="A812" s="1">
        <v>61613</v>
      </c>
    </row>
    <row r="813" spans="1:1" x14ac:dyDescent="0.3">
      <c r="A813" s="1">
        <v>61648</v>
      </c>
    </row>
    <row r="814" spans="1:1" x14ac:dyDescent="0.3">
      <c r="A814" s="1">
        <v>61669</v>
      </c>
    </row>
    <row r="815" spans="1:1" x14ac:dyDescent="0.3">
      <c r="A815" s="1">
        <v>61682</v>
      </c>
    </row>
    <row r="816" spans="1:1" x14ac:dyDescent="0.3">
      <c r="A816" s="1">
        <v>61722</v>
      </c>
    </row>
    <row r="817" spans="1:1" x14ac:dyDescent="0.3">
      <c r="A817" s="1">
        <v>61729</v>
      </c>
    </row>
    <row r="818" spans="1:1" x14ac:dyDescent="0.3">
      <c r="A818" s="1">
        <v>61784</v>
      </c>
    </row>
    <row r="819" spans="1:1" x14ac:dyDescent="0.3">
      <c r="A819" s="1">
        <v>61785</v>
      </c>
    </row>
    <row r="820" spans="1:1" x14ac:dyDescent="0.3">
      <c r="A820" s="1">
        <v>61830</v>
      </c>
    </row>
    <row r="821" spans="1:1" x14ac:dyDescent="0.3">
      <c r="A821" s="1">
        <v>61839</v>
      </c>
    </row>
    <row r="822" spans="1:1" x14ac:dyDescent="0.3">
      <c r="A822" s="1">
        <v>61849</v>
      </c>
    </row>
    <row r="823" spans="1:1" x14ac:dyDescent="0.3">
      <c r="A823" s="1">
        <v>61892</v>
      </c>
    </row>
    <row r="824" spans="1:1" x14ac:dyDescent="0.3">
      <c r="A824" s="1">
        <v>61978</v>
      </c>
    </row>
    <row r="825" spans="1:1" x14ac:dyDescent="0.3">
      <c r="A825" s="1">
        <v>62013</v>
      </c>
    </row>
    <row r="826" spans="1:1" x14ac:dyDescent="0.3">
      <c r="A826" s="1">
        <v>62034</v>
      </c>
    </row>
    <row r="827" spans="1:1" x14ac:dyDescent="0.3">
      <c r="A827" s="1">
        <v>62047</v>
      </c>
    </row>
    <row r="828" spans="1:1" x14ac:dyDescent="0.3">
      <c r="A828" s="1">
        <v>62087</v>
      </c>
    </row>
    <row r="829" spans="1:1" x14ac:dyDescent="0.3">
      <c r="A829" s="1">
        <v>62094</v>
      </c>
    </row>
    <row r="830" spans="1:1" x14ac:dyDescent="0.3">
      <c r="A830" s="1">
        <v>62134</v>
      </c>
    </row>
    <row r="831" spans="1:1" x14ac:dyDescent="0.3">
      <c r="A831" s="1">
        <v>62135</v>
      </c>
    </row>
    <row r="832" spans="1:1" x14ac:dyDescent="0.3">
      <c r="A832" s="1">
        <v>62180</v>
      </c>
    </row>
    <row r="833" spans="1:1" x14ac:dyDescent="0.3">
      <c r="A833" s="1">
        <v>62204</v>
      </c>
    </row>
    <row r="834" spans="1:1" x14ac:dyDescent="0.3">
      <c r="A834" s="1">
        <v>62214</v>
      </c>
    </row>
    <row r="835" spans="1:1" x14ac:dyDescent="0.3">
      <c r="A835" s="1">
        <v>62242</v>
      </c>
    </row>
    <row r="836" spans="1:1" x14ac:dyDescent="0.3">
      <c r="A836" s="1">
        <v>62343</v>
      </c>
    </row>
    <row r="837" spans="1:1" x14ac:dyDescent="0.3">
      <c r="A837" s="1">
        <v>62378</v>
      </c>
    </row>
    <row r="838" spans="1:1" x14ac:dyDescent="0.3">
      <c r="A838" s="1">
        <v>62399</v>
      </c>
    </row>
    <row r="839" spans="1:1" x14ac:dyDescent="0.3">
      <c r="A839" s="1">
        <v>62412</v>
      </c>
    </row>
    <row r="840" spans="1:1" x14ac:dyDescent="0.3">
      <c r="A840" s="1">
        <v>62452</v>
      </c>
    </row>
    <row r="841" spans="1:1" x14ac:dyDescent="0.3">
      <c r="A841" s="1">
        <v>62459</v>
      </c>
    </row>
    <row r="842" spans="1:1" x14ac:dyDescent="0.3">
      <c r="A842" s="1">
        <v>62519</v>
      </c>
    </row>
    <row r="843" spans="1:1" x14ac:dyDescent="0.3">
      <c r="A843" s="1">
        <v>62520</v>
      </c>
    </row>
    <row r="844" spans="1:1" x14ac:dyDescent="0.3">
      <c r="A844" s="1">
        <v>62565</v>
      </c>
    </row>
    <row r="845" spans="1:1" x14ac:dyDescent="0.3">
      <c r="A845" s="1">
        <v>62569</v>
      </c>
    </row>
    <row r="846" spans="1:1" x14ac:dyDescent="0.3">
      <c r="A846" s="1">
        <v>62579</v>
      </c>
    </row>
    <row r="847" spans="1:1" x14ac:dyDescent="0.3">
      <c r="A847" s="1">
        <v>62627</v>
      </c>
    </row>
    <row r="848" spans="1:1" x14ac:dyDescent="0.3">
      <c r="A848" s="1">
        <v>62708</v>
      </c>
    </row>
    <row r="849" spans="1:1" x14ac:dyDescent="0.3">
      <c r="A849" s="1">
        <v>62743</v>
      </c>
    </row>
    <row r="850" spans="1:1" x14ac:dyDescent="0.3">
      <c r="A850" s="1">
        <v>62764</v>
      </c>
    </row>
    <row r="851" spans="1:1" x14ac:dyDescent="0.3">
      <c r="A851" s="1">
        <v>62777</v>
      </c>
    </row>
    <row r="852" spans="1:1" x14ac:dyDescent="0.3">
      <c r="A852" s="1">
        <v>62817</v>
      </c>
    </row>
    <row r="853" spans="1:1" x14ac:dyDescent="0.3">
      <c r="A853" s="1">
        <v>62824</v>
      </c>
    </row>
    <row r="854" spans="1:1" x14ac:dyDescent="0.3">
      <c r="A854" s="1">
        <v>62876</v>
      </c>
    </row>
    <row r="855" spans="1:1" x14ac:dyDescent="0.3">
      <c r="A855" s="1">
        <v>62877</v>
      </c>
    </row>
    <row r="856" spans="1:1" x14ac:dyDescent="0.3">
      <c r="A856" s="1">
        <v>62922</v>
      </c>
    </row>
    <row r="857" spans="1:1" x14ac:dyDescent="0.3">
      <c r="A857" s="1">
        <v>62935</v>
      </c>
    </row>
    <row r="858" spans="1:1" x14ac:dyDescent="0.3">
      <c r="A858" s="1">
        <v>62945</v>
      </c>
    </row>
    <row r="859" spans="1:1" x14ac:dyDescent="0.3">
      <c r="A859" s="1">
        <v>62984</v>
      </c>
    </row>
    <row r="860" spans="1:1" x14ac:dyDescent="0.3">
      <c r="A860" s="1">
        <v>63074</v>
      </c>
    </row>
    <row r="861" spans="1:1" x14ac:dyDescent="0.3">
      <c r="A861" s="1">
        <v>63109</v>
      </c>
    </row>
    <row r="862" spans="1:1" x14ac:dyDescent="0.3">
      <c r="A862" s="1">
        <v>63130</v>
      </c>
    </row>
    <row r="863" spans="1:1" x14ac:dyDescent="0.3">
      <c r="A863" s="1">
        <v>63143</v>
      </c>
    </row>
    <row r="864" spans="1:1" x14ac:dyDescent="0.3">
      <c r="A864" s="1">
        <v>63183</v>
      </c>
    </row>
    <row r="865" spans="1:1" x14ac:dyDescent="0.3">
      <c r="A865" s="1">
        <v>63190</v>
      </c>
    </row>
    <row r="866" spans="1:1" x14ac:dyDescent="0.3">
      <c r="A866" s="1">
        <v>63226</v>
      </c>
    </row>
    <row r="867" spans="1:1" x14ac:dyDescent="0.3">
      <c r="A867" s="1">
        <v>63227</v>
      </c>
    </row>
    <row r="868" spans="1:1" x14ac:dyDescent="0.3">
      <c r="A868" s="1">
        <v>63272</v>
      </c>
    </row>
    <row r="869" spans="1:1" x14ac:dyDescent="0.3">
      <c r="A869" s="1">
        <v>63300</v>
      </c>
    </row>
    <row r="870" spans="1:1" x14ac:dyDescent="0.3">
      <c r="A870" s="1">
        <v>63310</v>
      </c>
    </row>
    <row r="871" spans="1:1" x14ac:dyDescent="0.3">
      <c r="A871" s="1">
        <v>63334</v>
      </c>
    </row>
    <row r="872" spans="1:1" x14ac:dyDescent="0.3">
      <c r="A872" s="1">
        <v>63439</v>
      </c>
    </row>
    <row r="873" spans="1:1" x14ac:dyDescent="0.3">
      <c r="A873" s="1">
        <v>63474</v>
      </c>
    </row>
    <row r="874" spans="1:1" x14ac:dyDescent="0.3">
      <c r="A874" s="1">
        <v>63495</v>
      </c>
    </row>
    <row r="875" spans="1:1" x14ac:dyDescent="0.3">
      <c r="A875" s="1">
        <v>63508</v>
      </c>
    </row>
    <row r="876" spans="1:1" x14ac:dyDescent="0.3">
      <c r="A876" s="1">
        <v>63548</v>
      </c>
    </row>
    <row r="877" spans="1:1" x14ac:dyDescent="0.3">
      <c r="A877" s="1">
        <v>63555</v>
      </c>
    </row>
    <row r="878" spans="1:1" x14ac:dyDescent="0.3">
      <c r="A878" s="1">
        <v>63611</v>
      </c>
    </row>
    <row r="879" spans="1:1" x14ac:dyDescent="0.3">
      <c r="A879" s="1">
        <v>63612</v>
      </c>
    </row>
    <row r="880" spans="1:1" x14ac:dyDescent="0.3">
      <c r="A880" s="1">
        <v>63657</v>
      </c>
    </row>
    <row r="881" spans="1:1" x14ac:dyDescent="0.3">
      <c r="A881" s="1">
        <v>63665</v>
      </c>
    </row>
    <row r="882" spans="1:1" x14ac:dyDescent="0.3">
      <c r="A882" s="1">
        <v>63675</v>
      </c>
    </row>
    <row r="883" spans="1:1" x14ac:dyDescent="0.3">
      <c r="A883" s="1">
        <v>63719</v>
      </c>
    </row>
    <row r="884" spans="1:1" x14ac:dyDescent="0.3">
      <c r="A884" s="1">
        <v>63804</v>
      </c>
    </row>
    <row r="885" spans="1:1" x14ac:dyDescent="0.3">
      <c r="A885" s="1">
        <v>63839</v>
      </c>
    </row>
    <row r="886" spans="1:1" x14ac:dyDescent="0.3">
      <c r="A886" s="1">
        <v>63860</v>
      </c>
    </row>
    <row r="887" spans="1:1" x14ac:dyDescent="0.3">
      <c r="A887" s="1">
        <v>63873</v>
      </c>
    </row>
    <row r="888" spans="1:1" x14ac:dyDescent="0.3">
      <c r="A888" s="1">
        <v>63913</v>
      </c>
    </row>
    <row r="889" spans="1:1" x14ac:dyDescent="0.3">
      <c r="A889" s="1">
        <v>63920</v>
      </c>
    </row>
    <row r="890" spans="1:1" x14ac:dyDescent="0.3">
      <c r="A890" s="1">
        <v>63968</v>
      </c>
    </row>
    <row r="891" spans="1:1" x14ac:dyDescent="0.3">
      <c r="A891" s="1">
        <v>63969</v>
      </c>
    </row>
    <row r="892" spans="1:1" x14ac:dyDescent="0.3">
      <c r="A892" s="1">
        <v>64014</v>
      </c>
    </row>
    <row r="893" spans="1:1" x14ac:dyDescent="0.3">
      <c r="A893" s="1">
        <v>64030</v>
      </c>
    </row>
    <row r="894" spans="1:1" x14ac:dyDescent="0.3">
      <c r="A894" s="1">
        <v>64040</v>
      </c>
    </row>
    <row r="895" spans="1:1" x14ac:dyDescent="0.3">
      <c r="A895" s="1">
        <v>64076</v>
      </c>
    </row>
    <row r="896" spans="1:1" x14ac:dyDescent="0.3">
      <c r="A896" s="1">
        <v>64169</v>
      </c>
    </row>
    <row r="897" spans="1:1" x14ac:dyDescent="0.3">
      <c r="A897" s="1">
        <v>64204</v>
      </c>
    </row>
    <row r="898" spans="1:1" x14ac:dyDescent="0.3">
      <c r="A898" s="1">
        <v>64225</v>
      </c>
    </row>
    <row r="899" spans="1:1" x14ac:dyDescent="0.3">
      <c r="A899" s="1">
        <v>64238</v>
      </c>
    </row>
    <row r="900" spans="1:1" x14ac:dyDescent="0.3">
      <c r="A900" s="1">
        <v>64278</v>
      </c>
    </row>
    <row r="901" spans="1:1" x14ac:dyDescent="0.3">
      <c r="A901" s="1">
        <v>64285</v>
      </c>
    </row>
    <row r="902" spans="1:1" x14ac:dyDescent="0.3">
      <c r="A902" s="1">
        <v>64346</v>
      </c>
    </row>
    <row r="903" spans="1:1" x14ac:dyDescent="0.3">
      <c r="A903" s="1">
        <v>64347</v>
      </c>
    </row>
    <row r="904" spans="1:1" x14ac:dyDescent="0.3">
      <c r="A904" s="1">
        <v>64392</v>
      </c>
    </row>
    <row r="905" spans="1:1" x14ac:dyDescent="0.3">
      <c r="A905" s="1">
        <v>64396</v>
      </c>
    </row>
    <row r="906" spans="1:1" x14ac:dyDescent="0.3">
      <c r="A906" s="1">
        <v>64406</v>
      </c>
    </row>
    <row r="907" spans="1:1" x14ac:dyDescent="0.3">
      <c r="A907" s="1">
        <v>64454</v>
      </c>
    </row>
    <row r="908" spans="1:1" x14ac:dyDescent="0.3">
      <c r="A908" s="1">
        <v>64535</v>
      </c>
    </row>
    <row r="909" spans="1:1" x14ac:dyDescent="0.3">
      <c r="A909" s="1">
        <v>64570</v>
      </c>
    </row>
    <row r="910" spans="1:1" x14ac:dyDescent="0.3">
      <c r="A910" s="1">
        <v>64591</v>
      </c>
    </row>
    <row r="911" spans="1:1" x14ac:dyDescent="0.3">
      <c r="A911" s="1">
        <v>64604</v>
      </c>
    </row>
    <row r="912" spans="1:1" x14ac:dyDescent="0.3">
      <c r="A912" s="1">
        <v>64644</v>
      </c>
    </row>
    <row r="913" spans="1:1" x14ac:dyDescent="0.3">
      <c r="A913" s="1">
        <v>64651</v>
      </c>
    </row>
    <row r="914" spans="1:1" x14ac:dyDescent="0.3">
      <c r="A914" s="1">
        <v>64703</v>
      </c>
    </row>
    <row r="915" spans="1:1" x14ac:dyDescent="0.3">
      <c r="A915" s="1">
        <v>64704</v>
      </c>
    </row>
    <row r="916" spans="1:1" x14ac:dyDescent="0.3">
      <c r="A916" s="1">
        <v>64749</v>
      </c>
    </row>
    <row r="917" spans="1:1" x14ac:dyDescent="0.3">
      <c r="A917" s="1">
        <v>64761</v>
      </c>
    </row>
    <row r="918" spans="1:1" x14ac:dyDescent="0.3">
      <c r="A918" s="1">
        <v>64771</v>
      </c>
    </row>
    <row r="919" spans="1:1" x14ac:dyDescent="0.3">
      <c r="A919" s="1">
        <v>64811</v>
      </c>
    </row>
    <row r="920" spans="1:1" x14ac:dyDescent="0.3">
      <c r="A920" s="1">
        <v>64900</v>
      </c>
    </row>
    <row r="921" spans="1:1" x14ac:dyDescent="0.3">
      <c r="A921" s="1">
        <v>64935</v>
      </c>
    </row>
    <row r="922" spans="1:1" x14ac:dyDescent="0.3">
      <c r="A922" s="1">
        <v>64956</v>
      </c>
    </row>
    <row r="923" spans="1:1" x14ac:dyDescent="0.3">
      <c r="A923" s="1">
        <v>64969</v>
      </c>
    </row>
    <row r="924" spans="1:1" x14ac:dyDescent="0.3">
      <c r="A924" s="1">
        <v>65009</v>
      </c>
    </row>
    <row r="925" spans="1:1" x14ac:dyDescent="0.3">
      <c r="A925" s="1">
        <v>65016</v>
      </c>
    </row>
    <row r="926" spans="1:1" x14ac:dyDescent="0.3">
      <c r="A926" s="1">
        <v>65060</v>
      </c>
    </row>
    <row r="927" spans="1:1" x14ac:dyDescent="0.3">
      <c r="A927" s="1">
        <v>65061</v>
      </c>
    </row>
    <row r="928" spans="1:1" x14ac:dyDescent="0.3">
      <c r="A928" s="1">
        <v>65106</v>
      </c>
    </row>
    <row r="929" spans="1:1" x14ac:dyDescent="0.3">
      <c r="A929" s="1">
        <v>65126</v>
      </c>
    </row>
    <row r="930" spans="1:1" x14ac:dyDescent="0.3">
      <c r="A930" s="1">
        <v>65136</v>
      </c>
    </row>
    <row r="931" spans="1:1" x14ac:dyDescent="0.3">
      <c r="A931" s="1">
        <v>65168</v>
      </c>
    </row>
    <row r="932" spans="1:1" x14ac:dyDescent="0.3">
      <c r="A932" s="1">
        <v>65265</v>
      </c>
    </row>
    <row r="933" spans="1:1" x14ac:dyDescent="0.3">
      <c r="A933" s="1">
        <v>65300</v>
      </c>
    </row>
    <row r="934" spans="1:1" x14ac:dyDescent="0.3">
      <c r="A934" s="1">
        <v>65321</v>
      </c>
    </row>
    <row r="935" spans="1:1" x14ac:dyDescent="0.3">
      <c r="A935" s="1">
        <v>65334</v>
      </c>
    </row>
    <row r="936" spans="1:1" x14ac:dyDescent="0.3">
      <c r="A936" s="1">
        <v>65374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2AB51-DC52-4C75-A880-D4C956E9F8C9}">
  <sheetPr codeName="Plan3"/>
  <dimension ref="A1:Y96"/>
  <sheetViews>
    <sheetView zoomScaleNormal="100" workbookViewId="0">
      <selection activeCell="T20" sqref="T20"/>
    </sheetView>
  </sheetViews>
  <sheetFormatPr defaultColWidth="0" defaultRowHeight="13.2" customHeight="1" zeroHeight="1" x14ac:dyDescent="0.25"/>
  <cols>
    <col min="1" max="1" width="12.88671875" style="31" customWidth="1"/>
    <col min="2" max="2" width="18.44140625" style="31" customWidth="1"/>
    <col min="3" max="3" width="14.6640625" style="31" customWidth="1"/>
    <col min="4" max="4" width="15.88671875" style="31" customWidth="1"/>
    <col min="5" max="5" width="14" style="31" customWidth="1"/>
    <col min="6" max="6" width="24.5546875" style="31" bestFit="1" customWidth="1"/>
    <col min="7" max="15" width="14" style="31" customWidth="1"/>
    <col min="16" max="16" width="20.44140625" style="31" customWidth="1"/>
    <col min="17" max="17" width="19" style="31" customWidth="1"/>
    <col min="18" max="18" width="22.5546875" style="31" customWidth="1"/>
    <col min="19" max="19" width="8.44140625" style="31" bestFit="1" customWidth="1"/>
    <col min="20" max="20" width="15" style="31" bestFit="1" customWidth="1"/>
    <col min="21" max="21" width="9.109375" style="22" customWidth="1"/>
    <col min="22" max="24" width="9.109375" style="31" hidden="1" customWidth="1"/>
    <col min="25" max="25" width="10.44140625" style="31" hidden="1" customWidth="1"/>
    <col min="26" max="16384" width="9.109375" style="31" hidden="1"/>
  </cols>
  <sheetData>
    <row r="1" spans="1:21" s="21" customFormat="1" ht="38.25" customHeight="1" thickBot="1" x14ac:dyDescent="0.35">
      <c r="A1" s="16" t="s">
        <v>0</v>
      </c>
      <c r="B1" s="47">
        <f>DATEVALUE(+E1)</f>
        <v>44896</v>
      </c>
      <c r="C1" s="17" t="s">
        <v>10</v>
      </c>
      <c r="D1" s="18"/>
      <c r="E1" s="48" t="str">
        <f>RIGHT(A14,11)</f>
        <v xml:space="preserve"> 01/12/2022</v>
      </c>
      <c r="F1" s="18"/>
      <c r="G1" s="19" t="s">
        <v>11</v>
      </c>
      <c r="H1" s="18"/>
      <c r="I1" s="18"/>
      <c r="J1" s="20" t="s">
        <v>12</v>
      </c>
      <c r="K1" s="18"/>
      <c r="L1" s="18"/>
      <c r="M1" s="18"/>
      <c r="N1" s="18"/>
      <c r="O1" s="18"/>
      <c r="P1" s="18"/>
      <c r="Q1" s="18"/>
      <c r="R1" s="18"/>
      <c r="S1" s="50" t="s">
        <v>13</v>
      </c>
      <c r="T1" s="50" t="s">
        <v>14</v>
      </c>
      <c r="U1" s="50" t="s">
        <v>15</v>
      </c>
    </row>
    <row r="2" spans="1:21" s="21" customFormat="1" ht="27.75" customHeight="1" x14ac:dyDescent="0.3">
      <c r="A2" s="22"/>
      <c r="B2" s="22"/>
      <c r="C2" s="18"/>
      <c r="D2" s="18"/>
      <c r="E2" s="18"/>
      <c r="F2" s="18"/>
      <c r="G2" s="170" t="s">
        <v>16</v>
      </c>
      <c r="H2" s="170"/>
      <c r="I2" s="170"/>
      <c r="J2" s="170"/>
      <c r="K2" s="170"/>
      <c r="L2" s="170"/>
      <c r="M2" s="170"/>
      <c r="N2" s="170"/>
      <c r="O2" s="170"/>
      <c r="P2" s="170"/>
      <c r="Q2" s="23"/>
      <c r="R2" s="18"/>
      <c r="S2" s="24" t="s">
        <v>17</v>
      </c>
      <c r="T2" s="24" t="s">
        <v>18</v>
      </c>
      <c r="U2" s="51" t="s">
        <v>19</v>
      </c>
    </row>
    <row r="3" spans="1:21" s="21" customFormat="1" ht="25.5" customHeight="1" thickBot="1" x14ac:dyDescent="0.35">
      <c r="A3" s="25" t="s">
        <v>20</v>
      </c>
      <c r="B3" s="46">
        <v>0.13650000000000001</v>
      </c>
      <c r="D3" s="18"/>
      <c r="E3" s="18"/>
      <c r="F3" s="18"/>
      <c r="G3" s="26" t="s">
        <v>21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24" t="s">
        <v>22</v>
      </c>
      <c r="T3" s="24" t="s">
        <v>23</v>
      </c>
      <c r="U3" s="51" t="s">
        <v>24</v>
      </c>
    </row>
    <row r="4" spans="1:21" s="21" customFormat="1" ht="22.5" customHeight="1" x14ac:dyDescent="0.3">
      <c r="A4" s="27"/>
      <c r="B4" s="28" t="s">
        <v>25</v>
      </c>
      <c r="C4" s="18"/>
      <c r="D4" s="18"/>
      <c r="E4" s="18"/>
      <c r="F4" s="18"/>
      <c r="G4" s="26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24" t="s">
        <v>26</v>
      </c>
      <c r="T4" s="24" t="s">
        <v>27</v>
      </c>
      <c r="U4" s="51" t="s">
        <v>28</v>
      </c>
    </row>
    <row r="5" spans="1:21" s="21" customFormat="1" ht="17.399999999999999" x14ac:dyDescent="0.3">
      <c r="A5" s="27"/>
      <c r="B5" s="171" t="s">
        <v>29</v>
      </c>
      <c r="C5" s="171"/>
      <c r="D5" s="171"/>
      <c r="E5" s="171"/>
      <c r="F5" s="171"/>
      <c r="G5" s="171"/>
      <c r="H5" s="171"/>
      <c r="I5" s="171"/>
      <c r="J5" s="171"/>
      <c r="K5" s="171"/>
      <c r="L5" s="18"/>
      <c r="M5" s="18"/>
      <c r="N5" s="18"/>
      <c r="O5" s="18"/>
      <c r="P5" s="18"/>
      <c r="Q5" s="18"/>
      <c r="R5" s="18"/>
      <c r="S5" s="24" t="s">
        <v>30</v>
      </c>
      <c r="T5" s="24" t="s">
        <v>31</v>
      </c>
      <c r="U5" s="51" t="s">
        <v>32</v>
      </c>
    </row>
    <row r="6" spans="1:21" s="21" customFormat="1" ht="17.399999999999999" x14ac:dyDescent="0.3">
      <c r="A6" s="27"/>
      <c r="B6" s="22"/>
      <c r="C6" s="18"/>
      <c r="D6" s="29"/>
      <c r="E6" s="18"/>
      <c r="F6" s="18"/>
      <c r="G6" s="30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4" t="s">
        <v>33</v>
      </c>
      <c r="T6" s="24" t="s">
        <v>34</v>
      </c>
      <c r="U6" s="51" t="s">
        <v>35</v>
      </c>
    </row>
    <row r="7" spans="1:21" s="21" customFormat="1" ht="17.399999999999999" x14ac:dyDescent="0.3">
      <c r="A7" s="27"/>
      <c r="B7" s="22"/>
      <c r="C7" s="18"/>
      <c r="D7" s="18"/>
      <c r="E7" s="18"/>
      <c r="F7" s="18"/>
      <c r="G7" s="26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4" t="s">
        <v>36</v>
      </c>
      <c r="T7" s="24" t="s">
        <v>37</v>
      </c>
      <c r="U7" s="51" t="s">
        <v>38</v>
      </c>
    </row>
    <row r="8" spans="1:21" s="21" customFormat="1" ht="17.399999999999999" x14ac:dyDescent="0.3">
      <c r="A8" s="27"/>
      <c r="B8" s="22"/>
      <c r="C8" s="18"/>
      <c r="D8" s="18"/>
      <c r="E8" s="18"/>
      <c r="F8" s="18"/>
      <c r="G8" s="2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 t="s">
        <v>39</v>
      </c>
      <c r="T8" s="24" t="s">
        <v>40</v>
      </c>
      <c r="U8" s="51" t="s">
        <v>41</v>
      </c>
    </row>
    <row r="9" spans="1:21" s="21" customFormat="1" ht="17.399999999999999" x14ac:dyDescent="0.3">
      <c r="A9" s="27"/>
      <c r="B9" s="22"/>
      <c r="C9" s="18"/>
      <c r="D9" s="18"/>
      <c r="E9" s="18"/>
      <c r="F9" s="52">
        <f>+SUM(F19:F57)</f>
        <v>254060116786</v>
      </c>
      <c r="G9" s="26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 t="s">
        <v>42</v>
      </c>
      <c r="T9" s="24" t="s">
        <v>43</v>
      </c>
      <c r="U9" s="51" t="s">
        <v>44</v>
      </c>
    </row>
    <row r="10" spans="1:21" s="21" customFormat="1" ht="48.75" customHeight="1" x14ac:dyDescent="0.3">
      <c r="A10" s="27" t="s">
        <v>45</v>
      </c>
      <c r="B10" s="22"/>
      <c r="C10" s="18"/>
      <c r="D10" s="18"/>
      <c r="E10" s="18"/>
      <c r="F10" s="18"/>
      <c r="G10" s="30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4" t="s">
        <v>46</v>
      </c>
      <c r="T10" s="24" t="s">
        <v>47</v>
      </c>
      <c r="U10" s="51" t="s">
        <v>48</v>
      </c>
    </row>
    <row r="11" spans="1:21" s="21" customFormat="1" ht="31.5" customHeight="1" x14ac:dyDescent="0.3">
      <c r="A11" s="37" t="s">
        <v>49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18"/>
      <c r="S11" s="24" t="s">
        <v>50</v>
      </c>
      <c r="T11" s="24" t="s">
        <v>51</v>
      </c>
      <c r="U11" s="51" t="s">
        <v>52</v>
      </c>
    </row>
    <row r="12" spans="1:2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22"/>
      <c r="S12" s="24" t="s">
        <v>53</v>
      </c>
      <c r="T12" s="24" t="s">
        <v>54</v>
      </c>
      <c r="U12" s="51" t="s">
        <v>55</v>
      </c>
    </row>
    <row r="13" spans="1:21" ht="12.75" customHeigh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2"/>
      <c r="S13" s="24" t="s">
        <v>56</v>
      </c>
      <c r="T13" s="24" t="s">
        <v>57</v>
      </c>
      <c r="U13" s="51" t="s">
        <v>58</v>
      </c>
    </row>
    <row r="14" spans="1:21" x14ac:dyDescent="0.25">
      <c r="A14" s="38" t="s">
        <v>117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22"/>
      <c r="S14" s="22"/>
      <c r="T14" s="22"/>
    </row>
    <row r="15" spans="1:2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22"/>
      <c r="S15" s="22"/>
      <c r="T15" s="22"/>
    </row>
    <row r="16" spans="1:21" x14ac:dyDescent="0.25">
      <c r="A16" s="39" t="s">
        <v>59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22"/>
      <c r="S16" s="22"/>
      <c r="T16" s="22"/>
    </row>
    <row r="17" spans="1:20" s="22" customFormat="1" ht="12.75" customHeight="1" x14ac:dyDescent="0.25">
      <c r="A17" s="49" t="s">
        <v>60</v>
      </c>
      <c r="B17" s="49" t="s">
        <v>61</v>
      </c>
      <c r="C17" s="49"/>
      <c r="D17" s="49"/>
      <c r="E17" s="49"/>
      <c r="F17" s="49"/>
      <c r="G17" s="49" t="s">
        <v>60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spans="1:20" s="22" customFormat="1" ht="39.6" x14ac:dyDescent="0.25">
      <c r="A18" s="49" t="s">
        <v>62</v>
      </c>
      <c r="B18" s="49" t="s">
        <v>63</v>
      </c>
      <c r="C18" s="49" t="s">
        <v>64</v>
      </c>
      <c r="D18" s="49" t="s">
        <v>65</v>
      </c>
      <c r="E18" s="49" t="s">
        <v>66</v>
      </c>
      <c r="F18" s="49" t="s">
        <v>67</v>
      </c>
      <c r="G18" s="49" t="s">
        <v>68</v>
      </c>
      <c r="H18" s="49" t="s">
        <v>69</v>
      </c>
      <c r="I18" s="49" t="s">
        <v>70</v>
      </c>
      <c r="J18" s="49" t="s">
        <v>71</v>
      </c>
      <c r="K18" s="49" t="s">
        <v>72</v>
      </c>
      <c r="L18" s="49" t="s">
        <v>73</v>
      </c>
      <c r="M18" s="49" t="s">
        <v>74</v>
      </c>
      <c r="N18" s="49" t="s">
        <v>75</v>
      </c>
      <c r="O18" s="49" t="s">
        <v>76</v>
      </c>
      <c r="P18" s="49" t="s">
        <v>77</v>
      </c>
      <c r="Q18" s="49" t="s">
        <v>78</v>
      </c>
      <c r="R18" s="36" t="s">
        <v>14</v>
      </c>
      <c r="S18" s="36" t="s">
        <v>1</v>
      </c>
      <c r="T18" s="36" t="s">
        <v>79</v>
      </c>
    </row>
    <row r="19" spans="1:20" s="22" customFormat="1" x14ac:dyDescent="0.25">
      <c r="A19" s="40" t="s">
        <v>81</v>
      </c>
      <c r="B19" s="41">
        <v>889733</v>
      </c>
      <c r="C19" s="41">
        <v>889733</v>
      </c>
      <c r="D19" s="41">
        <v>0</v>
      </c>
      <c r="E19" s="41">
        <v>0</v>
      </c>
      <c r="F19" s="41">
        <v>0</v>
      </c>
      <c r="G19" s="42">
        <v>99999.99</v>
      </c>
      <c r="H19" s="42">
        <v>99999.99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2">
        <v>100000</v>
      </c>
      <c r="O19" s="40" t="s">
        <v>126</v>
      </c>
      <c r="P19" s="40">
        <v>0</v>
      </c>
      <c r="Q19" s="40">
        <v>0</v>
      </c>
      <c r="R19" s="33">
        <f>IF(OR(A19="",LEN(A19)&lt;&gt;3),"",WORKDAY(WORKDAY(DATEVALUE("01/"&amp;VLOOKUP(LEFT(A19,1),$S$1:$U$13,3,FALSE)&amp;"/"&amp;20&amp;RIGHT(A19,2)),-1,Feriados!$A$2:$A$2000),1,Feriados!$A$2:$A$2000))</f>
        <v>44896</v>
      </c>
      <c r="S19" s="34">
        <f>IF(OR(R19="",R19="Cadastrar ativo na aba Banco de Códigos B3"),"",NETWORKDAYS($B$1,R19-1,Feriados!$A$2:$A$2000))</f>
        <v>-2</v>
      </c>
      <c r="T19" s="35">
        <f>IF(OR(R19="",R19="Cadastrar ativo na aba Banco de Códigos B3"),"",+ROUND(((100000/N19)^(252/S19)-1)*100,2))</f>
        <v>0</v>
      </c>
    </row>
    <row r="20" spans="1:20" s="22" customFormat="1" x14ac:dyDescent="0.25">
      <c r="A20" s="40" t="s">
        <v>82</v>
      </c>
      <c r="B20" s="41">
        <v>6050665</v>
      </c>
      <c r="C20" s="41">
        <v>6170625</v>
      </c>
      <c r="D20" s="40">
        <v>874</v>
      </c>
      <c r="E20" s="41">
        <v>615893</v>
      </c>
      <c r="F20" s="41">
        <v>60904014668</v>
      </c>
      <c r="G20" s="42">
        <v>98886.77</v>
      </c>
      <c r="H20" s="42">
        <v>98886.77</v>
      </c>
      <c r="I20" s="40">
        <v>13.682</v>
      </c>
      <c r="J20" s="40">
        <v>13.672000000000001</v>
      </c>
      <c r="K20" s="40">
        <v>13.683999999999999</v>
      </c>
      <c r="L20" s="40">
        <v>13.673999999999999</v>
      </c>
      <c r="M20" s="40">
        <v>13.672000000000001</v>
      </c>
      <c r="N20" s="42">
        <v>98887.49</v>
      </c>
      <c r="O20" s="40" t="s">
        <v>80</v>
      </c>
      <c r="P20" s="40">
        <v>13.672000000000001</v>
      </c>
      <c r="Q20" s="40">
        <v>13.673999999999999</v>
      </c>
      <c r="R20" s="33">
        <f>IF(OR(A20="",LEN(A20)&lt;&gt;3),"",WORKDAY(WORKDAY(DATEVALUE("01/"&amp;VLOOKUP(LEFT(A20,1),$S$1:$U$13,3,FALSE)&amp;"/"&amp;20&amp;RIGHT(A20,2)),-1,Feriados!$A$2:$A$2000),1,Feriados!$A$2:$A$2000))</f>
        <v>44928</v>
      </c>
      <c r="S20" s="34">
        <f>IF(OR(R20="",R20="Cadastrar ativo na aba Banco de Códigos B3"),"",NETWORKDAYS($B$1,R20-1,Feriados!$A$2:$A$2000))</f>
        <v>22</v>
      </c>
      <c r="T20" s="35">
        <f t="shared" ref="T20:T83" si="0">IF(OR(R20="",R20="Cadastrar ativo na aba Banco de Códigos B3"),"",+ROUND(((100000/N20)^(252/S20)-1)*100,2))</f>
        <v>13.67</v>
      </c>
    </row>
    <row r="21" spans="1:20" s="22" customFormat="1" x14ac:dyDescent="0.25">
      <c r="A21" s="40" t="s">
        <v>83</v>
      </c>
      <c r="B21" s="41">
        <v>333778</v>
      </c>
      <c r="C21" s="41">
        <v>339153</v>
      </c>
      <c r="D21" s="41">
        <v>18</v>
      </c>
      <c r="E21" s="41">
        <v>7840</v>
      </c>
      <c r="F21" s="41">
        <v>766619294</v>
      </c>
      <c r="G21" s="42">
        <v>97782.67</v>
      </c>
      <c r="H21" s="42">
        <v>97782.67</v>
      </c>
      <c r="I21" s="40">
        <v>13.708</v>
      </c>
      <c r="J21" s="40">
        <v>13.686</v>
      </c>
      <c r="K21" s="40">
        <v>13.708</v>
      </c>
      <c r="L21" s="40">
        <v>13.7</v>
      </c>
      <c r="M21" s="40">
        <v>13.688000000000001</v>
      </c>
      <c r="N21" s="42">
        <v>97784.06</v>
      </c>
      <c r="O21" s="40" t="s">
        <v>127</v>
      </c>
      <c r="P21" s="40">
        <v>13.692</v>
      </c>
      <c r="Q21" s="40">
        <v>13.7</v>
      </c>
      <c r="R21" s="33">
        <f>IF(OR(A21="",LEN(A21)&lt;&gt;3),"",WORKDAY(WORKDAY(DATEVALUE("01/"&amp;VLOOKUP(LEFT(A21,1),$S$1:$U$13,3,FALSE)&amp;"/"&amp;20&amp;RIGHT(A21,2)),-1,Feriados!$A$2:$A$2000),1,Feriados!$A$2:$A$2000))</f>
        <v>44958</v>
      </c>
      <c r="S21" s="34">
        <f>IF(OR(R21="",R21="Cadastrar ativo na aba Banco de Códigos B3"),"",NETWORKDAYS($B$1,R21-1,Feriados!$A$2:$A$2000))</f>
        <v>44</v>
      </c>
      <c r="T21" s="35">
        <f t="shared" si="0"/>
        <v>13.69</v>
      </c>
    </row>
    <row r="22" spans="1:20" s="22" customFormat="1" x14ac:dyDescent="0.25">
      <c r="A22" s="40" t="s">
        <v>84</v>
      </c>
      <c r="B22" s="41">
        <v>250094</v>
      </c>
      <c r="C22" s="41">
        <v>252964</v>
      </c>
      <c r="D22" s="41">
        <v>11</v>
      </c>
      <c r="E22" s="41">
        <v>5940</v>
      </c>
      <c r="F22" s="41">
        <v>575510350</v>
      </c>
      <c r="G22" s="42">
        <v>96884.99</v>
      </c>
      <c r="H22" s="42">
        <v>96884.99</v>
      </c>
      <c r="I22" s="40">
        <v>13.71</v>
      </c>
      <c r="J22" s="40">
        <v>13.71</v>
      </c>
      <c r="K22" s="40">
        <v>13.747999999999999</v>
      </c>
      <c r="L22" s="40">
        <v>13.715</v>
      </c>
      <c r="M22" s="40">
        <v>13.747999999999999</v>
      </c>
      <c r="N22" s="42">
        <v>96888.39</v>
      </c>
      <c r="O22" s="40" t="s">
        <v>128</v>
      </c>
      <c r="P22" s="40">
        <v>13.734</v>
      </c>
      <c r="Q22" s="40">
        <v>13.746</v>
      </c>
      <c r="R22" s="33">
        <f>IF(OR(A22="",LEN(A22)&lt;&gt;3),"",WORKDAY(WORKDAY(DATEVALUE("01/"&amp;VLOOKUP(LEFT(A22,1),$S$1:$U$13,3,FALSE)&amp;"/"&amp;20&amp;RIGHT(A22,2)),-1,Feriados!$A$2:$A$2000),1,Feriados!$A$2:$A$2000))</f>
        <v>44986</v>
      </c>
      <c r="S22" s="34">
        <f>IF(OR(R22="",R22="Cadastrar ativo na aba Banco de Códigos B3"),"",NETWORKDAYS($B$1,R22-1,Feriados!$A$2:$A$2000))</f>
        <v>62</v>
      </c>
      <c r="T22" s="35">
        <f t="shared" si="0"/>
        <v>13.71</v>
      </c>
    </row>
    <row r="23" spans="1:20" s="22" customFormat="1" x14ac:dyDescent="0.25">
      <c r="A23" s="40" t="s">
        <v>85</v>
      </c>
      <c r="B23" s="41">
        <v>1807475</v>
      </c>
      <c r="C23" s="41">
        <v>1792404</v>
      </c>
      <c r="D23" s="41">
        <v>1475</v>
      </c>
      <c r="E23" s="41">
        <v>87907</v>
      </c>
      <c r="F23" s="41">
        <v>8416060541</v>
      </c>
      <c r="G23" s="42">
        <v>95742.86</v>
      </c>
      <c r="H23" s="42">
        <v>95742.86</v>
      </c>
      <c r="I23" s="40">
        <v>13.78</v>
      </c>
      <c r="J23" s="40">
        <v>13.77</v>
      </c>
      <c r="K23" s="40">
        <v>13.79</v>
      </c>
      <c r="L23" s="40">
        <v>13.782</v>
      </c>
      <c r="M23" s="40">
        <v>13.78</v>
      </c>
      <c r="N23" s="42">
        <v>95739</v>
      </c>
      <c r="O23" s="40" t="s">
        <v>129</v>
      </c>
      <c r="P23" s="40">
        <v>13.78</v>
      </c>
      <c r="Q23" s="40">
        <v>13.785</v>
      </c>
      <c r="R23" s="33">
        <f>IF(OR(A23="",LEN(A23)&lt;&gt;3),"",WORKDAY(WORKDAY(DATEVALUE("01/"&amp;VLOOKUP(LEFT(A23,1),$S$1:$U$13,3,FALSE)&amp;"/"&amp;20&amp;RIGHT(A23,2)),-1,Feriados!$A$2:$A$2000),1,Feriados!$A$2:$A$2000))</f>
        <v>45019</v>
      </c>
      <c r="S23" s="34">
        <f>IF(OR(R23="",R23="Cadastrar ativo na aba Banco de Códigos B3"),"",NETWORKDAYS($B$1,R23-1,Feriados!$A$2:$A$2000))</f>
        <v>85</v>
      </c>
      <c r="T23" s="35">
        <f t="shared" si="0"/>
        <v>13.78</v>
      </c>
    </row>
    <row r="24" spans="1:20" s="22" customFormat="1" x14ac:dyDescent="0.25">
      <c r="A24" s="40" t="s">
        <v>118</v>
      </c>
      <c r="B24" s="41">
        <v>130825</v>
      </c>
      <c r="C24" s="41">
        <v>139710</v>
      </c>
      <c r="D24" s="41">
        <v>11</v>
      </c>
      <c r="E24" s="41">
        <v>8980</v>
      </c>
      <c r="F24" s="41">
        <v>851597576</v>
      </c>
      <c r="G24" s="42">
        <v>94846.03</v>
      </c>
      <c r="H24" s="42">
        <v>94846.03</v>
      </c>
      <c r="I24" s="40">
        <v>13.865</v>
      </c>
      <c r="J24" s="40">
        <v>13.85</v>
      </c>
      <c r="K24" s="40">
        <v>13.87</v>
      </c>
      <c r="L24" s="40">
        <v>13.86</v>
      </c>
      <c r="M24" s="40">
        <v>13.87</v>
      </c>
      <c r="N24" s="42">
        <v>94839.79</v>
      </c>
      <c r="O24" s="40" t="s">
        <v>130</v>
      </c>
      <c r="P24" s="40">
        <v>13.835000000000001</v>
      </c>
      <c r="Q24" s="40">
        <v>13.865</v>
      </c>
      <c r="R24" s="33">
        <f>IF(OR(A24="",LEN(A24)&lt;&gt;3),"",WORKDAY(WORKDAY(DATEVALUE("01/"&amp;VLOOKUP(LEFT(A24,1),$S$1:$U$13,3,FALSE)&amp;"/"&amp;20&amp;RIGHT(A24,2)),-1,Feriados!$A$2:$A$2000),1,Feriados!$A$2:$A$2000))</f>
        <v>45048</v>
      </c>
      <c r="S24" s="34">
        <f>IF(OR(R24="",R24="Cadastrar ativo na aba Banco de Códigos B3"),"",NETWORKDAYS($B$1,R24-1,Feriados!$A$2:$A$2000))</f>
        <v>103</v>
      </c>
      <c r="T24" s="35">
        <f t="shared" si="0"/>
        <v>13.84</v>
      </c>
    </row>
    <row r="25" spans="1:20" s="22" customFormat="1" x14ac:dyDescent="0.25">
      <c r="A25" s="40" t="s">
        <v>119</v>
      </c>
      <c r="B25" s="41">
        <v>76026</v>
      </c>
      <c r="C25" s="41">
        <v>76046</v>
      </c>
      <c r="D25" s="41">
        <v>2</v>
      </c>
      <c r="E25" s="41">
        <v>20</v>
      </c>
      <c r="F25" s="41">
        <v>1874839</v>
      </c>
      <c r="G25" s="42">
        <v>93755.49</v>
      </c>
      <c r="H25" s="42">
        <v>93755.49</v>
      </c>
      <c r="I25" s="40">
        <v>13.914999999999999</v>
      </c>
      <c r="J25" s="40">
        <v>13.914999999999999</v>
      </c>
      <c r="K25" s="40">
        <v>13.914999999999999</v>
      </c>
      <c r="L25" s="40">
        <v>13.914999999999999</v>
      </c>
      <c r="M25" s="40">
        <v>13.914999999999999</v>
      </c>
      <c r="N25" s="42">
        <v>93746.05</v>
      </c>
      <c r="O25" s="40" t="s">
        <v>131</v>
      </c>
      <c r="P25" s="40">
        <v>13.92</v>
      </c>
      <c r="Q25" s="40">
        <v>13.955</v>
      </c>
      <c r="R25" s="33">
        <f>IF(OR(A25="",LEN(A25)&lt;&gt;3),"",WORKDAY(WORKDAY(DATEVALUE("01/"&amp;VLOOKUP(LEFT(A25,1),$S$1:$U$13,3,FALSE)&amp;"/"&amp;20&amp;RIGHT(A25,2)),-1,Feriados!$A$2:$A$2000),1,Feriados!$A$2:$A$2000))</f>
        <v>45078</v>
      </c>
      <c r="S25" s="34">
        <f>IF(OR(R25="",R25="Cadastrar ativo na aba Banco de Códigos B3"),"",NETWORKDAYS($B$1,R25-1,Feriados!$A$2:$A$2000))</f>
        <v>125</v>
      </c>
      <c r="T25" s="35">
        <f t="shared" si="0"/>
        <v>13.91</v>
      </c>
    </row>
    <row r="26" spans="1:20" s="22" customFormat="1" x14ac:dyDescent="0.25">
      <c r="A26" s="40" t="s">
        <v>86</v>
      </c>
      <c r="B26" s="41">
        <v>2670663</v>
      </c>
      <c r="C26" s="41">
        <v>2651049</v>
      </c>
      <c r="D26" s="41">
        <v>10701</v>
      </c>
      <c r="E26" s="41">
        <v>318923</v>
      </c>
      <c r="F26" s="41">
        <v>29562869235</v>
      </c>
      <c r="G26" s="42">
        <v>92714.63</v>
      </c>
      <c r="H26" s="42">
        <v>92714.63</v>
      </c>
      <c r="I26" s="40">
        <v>13.965</v>
      </c>
      <c r="J26" s="40">
        <v>13.965</v>
      </c>
      <c r="K26" s="40">
        <v>14.015000000000001</v>
      </c>
      <c r="L26" s="40">
        <v>13.986000000000001</v>
      </c>
      <c r="M26" s="40">
        <v>13.984999999999999</v>
      </c>
      <c r="N26" s="42">
        <v>92701.440000000002</v>
      </c>
      <c r="O26" s="40" t="s">
        <v>132</v>
      </c>
      <c r="P26" s="40">
        <v>13.984999999999999</v>
      </c>
      <c r="Q26" s="40">
        <v>13.99</v>
      </c>
      <c r="R26" s="33">
        <f>IF(OR(A26="",LEN(A26)&lt;&gt;3),"",WORKDAY(WORKDAY(DATEVALUE("01/"&amp;VLOOKUP(LEFT(A26,1),$S$1:$U$13,3,FALSE)&amp;"/"&amp;20&amp;RIGHT(A26,2)),-1,Feriados!$A$2:$A$2000),1,Feriados!$A$2:$A$2000))</f>
        <v>45110</v>
      </c>
      <c r="S26" s="34">
        <f>IF(OR(R26="",R26="Cadastrar ativo na aba Banco de Códigos B3"),"",NETWORKDAYS($B$1,R26-1,Feriados!$A$2:$A$2000))</f>
        <v>146</v>
      </c>
      <c r="T26" s="35">
        <f t="shared" si="0"/>
        <v>13.98</v>
      </c>
    </row>
    <row r="27" spans="1:20" s="22" customFormat="1" x14ac:dyDescent="0.25">
      <c r="A27" s="40" t="s">
        <v>120</v>
      </c>
      <c r="B27" s="41">
        <v>51519</v>
      </c>
      <c r="C27" s="41">
        <v>53771</v>
      </c>
      <c r="D27" s="41">
        <v>23</v>
      </c>
      <c r="E27" s="41">
        <v>2580</v>
      </c>
      <c r="F27" s="41">
        <v>236543277</v>
      </c>
      <c r="G27" s="42">
        <v>91692.69</v>
      </c>
      <c r="H27" s="42">
        <v>91692.69</v>
      </c>
      <c r="I27" s="40">
        <v>13.994999999999999</v>
      </c>
      <c r="J27" s="40">
        <v>13.975</v>
      </c>
      <c r="K27" s="40">
        <v>14.02</v>
      </c>
      <c r="L27" s="40">
        <v>13.999000000000001</v>
      </c>
      <c r="M27" s="40">
        <v>13.975</v>
      </c>
      <c r="N27" s="42">
        <v>91680.960000000006</v>
      </c>
      <c r="O27" s="40" t="s">
        <v>133</v>
      </c>
      <c r="P27" s="40">
        <v>13.99</v>
      </c>
      <c r="Q27" s="40">
        <v>14.035</v>
      </c>
      <c r="R27" s="33">
        <f>IF(OR(A27="",LEN(A27)&lt;&gt;3),"",WORKDAY(WORKDAY(DATEVALUE("01/"&amp;VLOOKUP(LEFT(A27,1),$S$1:$U$13,3,FALSE)&amp;"/"&amp;20&amp;RIGHT(A27,2)),-1,Feriados!$A$2:$A$2000),1,Feriados!$A$2:$A$2000))</f>
        <v>45139</v>
      </c>
      <c r="S27" s="34">
        <f>IF(OR(R27="",R27="Cadastrar ativo na aba Banco de Códigos B3"),"",NETWORKDAYS($B$1,R27-1,Feriados!$A$2:$A$2000))</f>
        <v>167</v>
      </c>
      <c r="T27" s="35">
        <f t="shared" si="0"/>
        <v>14</v>
      </c>
    </row>
    <row r="28" spans="1:20" s="22" customFormat="1" x14ac:dyDescent="0.25">
      <c r="A28" s="40" t="s">
        <v>121</v>
      </c>
      <c r="B28" s="41">
        <v>54900</v>
      </c>
      <c r="C28" s="41">
        <v>55996</v>
      </c>
      <c r="D28" s="41">
        <v>7</v>
      </c>
      <c r="E28" s="41">
        <v>1116</v>
      </c>
      <c r="F28" s="41">
        <v>101095375</v>
      </c>
      <c r="G28" s="42">
        <v>90596.89</v>
      </c>
      <c r="H28" s="42">
        <v>90596.89</v>
      </c>
      <c r="I28" s="40">
        <v>14.01</v>
      </c>
      <c r="J28" s="40">
        <v>14.005000000000001</v>
      </c>
      <c r="K28" s="40">
        <v>14.01</v>
      </c>
      <c r="L28" s="40">
        <v>14.009</v>
      </c>
      <c r="M28" s="40">
        <v>14.005000000000001</v>
      </c>
      <c r="N28" s="42">
        <v>90587.199999999997</v>
      </c>
      <c r="O28" s="40" t="s">
        <v>134</v>
      </c>
      <c r="P28" s="40">
        <v>14.005000000000001</v>
      </c>
      <c r="Q28" s="40">
        <v>14.05</v>
      </c>
      <c r="R28" s="33">
        <f>IF(OR(A28="",LEN(A28)&lt;&gt;3),"",WORKDAY(WORKDAY(DATEVALUE("01/"&amp;VLOOKUP(LEFT(A28,1),$S$1:$U$13,3,FALSE)&amp;"/"&amp;20&amp;RIGHT(A28,2)),-1,Feriados!$A$2:$A$2000),1,Feriados!$A$2:$A$2000))</f>
        <v>45170</v>
      </c>
      <c r="S28" s="34">
        <f>IF(OR(R28="",R28="Cadastrar ativo na aba Banco de Códigos B3"),"",NETWORKDAYS($B$1,R28-1,Feriados!$A$2:$A$2000))</f>
        <v>190</v>
      </c>
      <c r="T28" s="35">
        <f t="shared" si="0"/>
        <v>14.01</v>
      </c>
    </row>
    <row r="29" spans="1:20" s="22" customFormat="1" x14ac:dyDescent="0.25">
      <c r="A29" s="40" t="s">
        <v>87</v>
      </c>
      <c r="B29" s="41">
        <v>450977</v>
      </c>
      <c r="C29" s="41">
        <v>450476</v>
      </c>
      <c r="D29" s="41">
        <v>3063</v>
      </c>
      <c r="E29" s="41">
        <v>29824</v>
      </c>
      <c r="F29" s="41">
        <v>2672918529</v>
      </c>
      <c r="G29" s="42">
        <v>89664.76</v>
      </c>
      <c r="H29" s="42">
        <v>89664.76</v>
      </c>
      <c r="I29" s="40">
        <v>14.045</v>
      </c>
      <c r="J29" s="40">
        <v>14.01</v>
      </c>
      <c r="K29" s="40">
        <v>14.09</v>
      </c>
      <c r="L29" s="40">
        <v>14.05</v>
      </c>
      <c r="M29" s="40">
        <v>14.035</v>
      </c>
      <c r="N29" s="42">
        <v>89642.880000000005</v>
      </c>
      <c r="O29" s="40" t="s">
        <v>135</v>
      </c>
      <c r="P29" s="40">
        <v>14.03</v>
      </c>
      <c r="Q29" s="40">
        <v>14.045</v>
      </c>
      <c r="R29" s="33">
        <f>IF(OR(A29="",LEN(A29)&lt;&gt;3),"",WORKDAY(WORKDAY(DATEVALUE("01/"&amp;VLOOKUP(LEFT(A29,1),$S$1:$U$13,3,FALSE)&amp;"/"&amp;20&amp;RIGHT(A29,2)),-1,Feriados!$A$2:$A$2000),1,Feriados!$A$2:$A$2000))</f>
        <v>45201</v>
      </c>
      <c r="S29" s="34">
        <f>IF(OR(R29="",R29="Cadastrar ativo na aba Banco de Códigos B3"),"",NETWORKDAYS($B$1,R29-1,Feriados!$A$2:$A$2000))</f>
        <v>210</v>
      </c>
      <c r="T29" s="35">
        <f t="shared" si="0"/>
        <v>14.02</v>
      </c>
    </row>
    <row r="30" spans="1:20" s="22" customFormat="1" x14ac:dyDescent="0.25">
      <c r="A30" s="40" t="s">
        <v>122</v>
      </c>
      <c r="B30" s="41">
        <v>54134</v>
      </c>
      <c r="C30" s="41">
        <v>51359</v>
      </c>
      <c r="D30" s="41">
        <v>2</v>
      </c>
      <c r="E30" s="41">
        <v>2775</v>
      </c>
      <c r="F30" s="41">
        <v>246063856</v>
      </c>
      <c r="G30" s="42">
        <v>88706.34</v>
      </c>
      <c r="H30" s="42">
        <v>88706.34</v>
      </c>
      <c r="I30" s="40">
        <v>14.015000000000001</v>
      </c>
      <c r="J30" s="40">
        <v>14.015000000000001</v>
      </c>
      <c r="K30" s="40">
        <v>14.015000000000001</v>
      </c>
      <c r="L30" s="40">
        <v>14.015000000000001</v>
      </c>
      <c r="M30" s="40">
        <v>14.015000000000001</v>
      </c>
      <c r="N30" s="42">
        <v>88675.23</v>
      </c>
      <c r="O30" s="40" t="s">
        <v>136</v>
      </c>
      <c r="P30" s="40">
        <v>14.025</v>
      </c>
      <c r="Q30" s="40">
        <v>14.055</v>
      </c>
      <c r="R30" s="33">
        <f>IF(OR(A30="",LEN(A30)&lt;&gt;3),"",WORKDAY(WORKDAY(DATEVALUE("01/"&amp;VLOOKUP(LEFT(A30,1),$S$1:$U$13,3,FALSE)&amp;"/"&amp;20&amp;RIGHT(A30,2)),-1,Feriados!$A$2:$A$2000),1,Feriados!$A$2:$A$2000))</f>
        <v>45231</v>
      </c>
      <c r="S30" s="34">
        <f>IF(OR(R30="",R30="Cadastrar ativo na aba Banco de Códigos B3"),"",NETWORKDAYS($B$1,R30-1,Feriados!$A$2:$A$2000))</f>
        <v>231</v>
      </c>
      <c r="T30" s="35">
        <f t="shared" si="0"/>
        <v>14.01</v>
      </c>
    </row>
    <row r="31" spans="1:20" s="22" customFormat="1" x14ac:dyDescent="0.25">
      <c r="A31" s="40" t="s">
        <v>123</v>
      </c>
      <c r="B31" s="41">
        <v>0</v>
      </c>
      <c r="C31" s="41">
        <v>5030</v>
      </c>
      <c r="D31" s="41">
        <v>6</v>
      </c>
      <c r="E31" s="41">
        <v>5050</v>
      </c>
      <c r="F31" s="41">
        <v>443163905</v>
      </c>
      <c r="G31" s="42">
        <v>87767.03</v>
      </c>
      <c r="H31" s="42">
        <v>87816.39</v>
      </c>
      <c r="I31" s="40">
        <v>14.03</v>
      </c>
      <c r="J31" s="40">
        <v>14.01</v>
      </c>
      <c r="K31" s="40">
        <v>14.03</v>
      </c>
      <c r="L31" s="40">
        <v>14.012</v>
      </c>
      <c r="M31" s="40">
        <v>14.01</v>
      </c>
      <c r="N31" s="42">
        <v>87771.82</v>
      </c>
      <c r="O31" s="40" t="s">
        <v>137</v>
      </c>
      <c r="P31" s="40">
        <v>14</v>
      </c>
      <c r="Q31" s="40">
        <v>14.035</v>
      </c>
      <c r="R31" s="33">
        <f>IF(OR(A31="",LEN(A31)&lt;&gt;3),"",WORKDAY(WORKDAY(DATEVALUE("01/"&amp;VLOOKUP(LEFT(A31,1),$S$1:$U$13,3,FALSE)&amp;"/"&amp;20&amp;RIGHT(A31,2)),-1,Feriados!$A$2:$A$2000),1,Feriados!$A$2:$A$2000))</f>
        <v>45261</v>
      </c>
      <c r="S31" s="34">
        <f>IF(OR(R31="",R31="Cadastrar ativo na aba Banco de Códigos B3"),"",NETWORKDAYS($B$1,R31-1,Feriados!$A$2:$A$2000))</f>
        <v>251</v>
      </c>
      <c r="T31" s="35">
        <f t="shared" si="0"/>
        <v>13.99</v>
      </c>
    </row>
    <row r="32" spans="1:20" s="22" customFormat="1" x14ac:dyDescent="0.25">
      <c r="A32" s="40" t="s">
        <v>88</v>
      </c>
      <c r="B32" s="41">
        <v>4455408</v>
      </c>
      <c r="C32" s="41">
        <v>4437234</v>
      </c>
      <c r="D32" s="41">
        <v>48587</v>
      </c>
      <c r="E32" s="41">
        <v>717935</v>
      </c>
      <c r="F32" s="41">
        <v>62357275540</v>
      </c>
      <c r="G32" s="42">
        <v>86925.87</v>
      </c>
      <c r="H32" s="42">
        <v>86925.87</v>
      </c>
      <c r="I32" s="40">
        <v>13.91</v>
      </c>
      <c r="J32" s="40">
        <v>13.91</v>
      </c>
      <c r="K32" s="40">
        <v>14.065</v>
      </c>
      <c r="L32" s="40">
        <v>14</v>
      </c>
      <c r="M32" s="40">
        <v>13.975</v>
      </c>
      <c r="N32" s="42">
        <v>86873.37</v>
      </c>
      <c r="O32" s="40" t="s">
        <v>138</v>
      </c>
      <c r="P32" s="40">
        <v>13.975</v>
      </c>
      <c r="Q32" s="40">
        <v>13.98</v>
      </c>
      <c r="R32" s="33">
        <f>IF(OR(A32="",LEN(A32)&lt;&gt;3),"",WORKDAY(WORKDAY(DATEVALUE("01/"&amp;VLOOKUP(LEFT(A32,1),$S$1:$U$13,3,FALSE)&amp;"/"&amp;20&amp;RIGHT(A32,2)),-1,Feriados!$A$2:$A$2000),1,Feriados!$A$2:$A$2000))</f>
        <v>45293</v>
      </c>
      <c r="S32" s="34">
        <f>IF(OR(R32="",R32="Cadastrar ativo na aba Banco de Códigos B3"),"",NETWORKDAYS($B$1,R32-1,Feriados!$A$2:$A$2000))</f>
        <v>271</v>
      </c>
      <c r="T32" s="35">
        <f t="shared" si="0"/>
        <v>13.98</v>
      </c>
    </row>
    <row r="33" spans="1:20" s="22" customFormat="1" x14ac:dyDescent="0.25">
      <c r="A33" s="40" t="s">
        <v>89</v>
      </c>
      <c r="B33" s="41">
        <v>871545</v>
      </c>
      <c r="C33" s="41">
        <v>872888</v>
      </c>
      <c r="D33" s="41">
        <v>2417</v>
      </c>
      <c r="E33" s="41">
        <v>18374</v>
      </c>
      <c r="F33" s="41">
        <v>1548528927</v>
      </c>
      <c r="G33" s="42">
        <v>84359.38</v>
      </c>
      <c r="H33" s="42">
        <v>84359.38</v>
      </c>
      <c r="I33" s="40">
        <v>13.875</v>
      </c>
      <c r="J33" s="40">
        <v>13.805</v>
      </c>
      <c r="K33" s="40">
        <v>13.935</v>
      </c>
      <c r="L33" s="40">
        <v>13.863</v>
      </c>
      <c r="M33" s="40">
        <v>13.845000000000001</v>
      </c>
      <c r="N33" s="42">
        <v>84296.320000000007</v>
      </c>
      <c r="O33" s="40" t="s">
        <v>139</v>
      </c>
      <c r="P33" s="40">
        <v>13.845000000000001</v>
      </c>
      <c r="Q33" s="40">
        <v>13.855</v>
      </c>
      <c r="R33" s="33">
        <f>IF(OR(A33="",LEN(A33)&lt;&gt;3),"",WORKDAY(WORKDAY(DATEVALUE("01/"&amp;VLOOKUP(LEFT(A33,1),$S$1:$U$13,3,FALSE)&amp;"/"&amp;20&amp;RIGHT(A33,2)),-1,Feriados!$A$2:$A$2000),1,Feriados!$A$2:$A$2000))</f>
        <v>45383</v>
      </c>
      <c r="S33" s="34">
        <f>IF(OR(R33="",R33="Cadastrar ativo na aba Banco de Códigos B3"),"",NETWORKDAYS($B$1,R33-1,Feriados!$A$2:$A$2000))</f>
        <v>332</v>
      </c>
      <c r="T33" s="35">
        <f t="shared" si="0"/>
        <v>13.84</v>
      </c>
    </row>
    <row r="34" spans="1:20" s="22" customFormat="1" x14ac:dyDescent="0.25">
      <c r="A34" s="40" t="s">
        <v>90</v>
      </c>
      <c r="B34" s="41">
        <v>946088</v>
      </c>
      <c r="C34" s="41">
        <v>959852</v>
      </c>
      <c r="D34" s="41">
        <v>14603</v>
      </c>
      <c r="E34" s="41">
        <v>75063</v>
      </c>
      <c r="F34" s="41">
        <v>6145105356</v>
      </c>
      <c r="G34" s="42">
        <v>81997.09</v>
      </c>
      <c r="H34" s="42">
        <v>81997.09</v>
      </c>
      <c r="I34" s="40">
        <v>13.59</v>
      </c>
      <c r="J34" s="40">
        <v>13.555</v>
      </c>
      <c r="K34" s="40">
        <v>13.69</v>
      </c>
      <c r="L34" s="40">
        <v>13.615</v>
      </c>
      <c r="M34" s="40">
        <v>13.59</v>
      </c>
      <c r="N34" s="42">
        <v>81906.149999999994</v>
      </c>
      <c r="O34" s="40" t="s">
        <v>140</v>
      </c>
      <c r="P34" s="40">
        <v>13.585000000000001</v>
      </c>
      <c r="Q34" s="40">
        <v>13.6</v>
      </c>
      <c r="R34" s="33">
        <f>IF(OR(A34="",LEN(A34)&lt;&gt;3),"",WORKDAY(WORKDAY(DATEVALUE("01/"&amp;VLOOKUP(LEFT(A34,1),$S$1:$U$13,3,FALSE)&amp;"/"&amp;20&amp;RIGHT(A34,2)),-1,Feriados!$A$2:$A$2000),1,Feriados!$A$2:$A$2000))</f>
        <v>45474</v>
      </c>
      <c r="S34" s="34">
        <f>IF(OR(R34="",R34="Cadastrar ativo na aba Banco de Códigos B3"),"",NETWORKDAYS($B$1,R34-1,Feriados!$A$2:$A$2000))</f>
        <v>395</v>
      </c>
      <c r="T34" s="35">
        <f t="shared" si="0"/>
        <v>13.58</v>
      </c>
    </row>
    <row r="35" spans="1:20" s="22" customFormat="1" x14ac:dyDescent="0.25">
      <c r="A35" s="40" t="s">
        <v>91</v>
      </c>
      <c r="B35" s="41">
        <v>441547</v>
      </c>
      <c r="C35" s="41">
        <v>446826</v>
      </c>
      <c r="D35" s="41">
        <v>3468</v>
      </c>
      <c r="E35" s="41">
        <v>42726</v>
      </c>
      <c r="F35" s="41">
        <v>3396734898</v>
      </c>
      <c r="G35" s="42">
        <v>79669.31</v>
      </c>
      <c r="H35" s="42">
        <v>79669.31</v>
      </c>
      <c r="I35" s="40">
        <v>13.365</v>
      </c>
      <c r="J35" s="40">
        <v>13.3</v>
      </c>
      <c r="K35" s="40">
        <v>13.435</v>
      </c>
      <c r="L35" s="40">
        <v>13.36</v>
      </c>
      <c r="M35" s="40">
        <v>13.335000000000001</v>
      </c>
      <c r="N35" s="42">
        <v>79539.59</v>
      </c>
      <c r="O35" s="40" t="s">
        <v>141</v>
      </c>
      <c r="P35" s="40">
        <v>13.32</v>
      </c>
      <c r="Q35" s="40">
        <v>13.34</v>
      </c>
      <c r="R35" s="33">
        <f>IF(OR(A35="",LEN(A35)&lt;&gt;3),"",WORKDAY(WORKDAY(DATEVALUE("01/"&amp;VLOOKUP(LEFT(A35,1),$S$1:$U$13,3,FALSE)&amp;"/"&amp;20&amp;RIGHT(A35,2)),-1,Feriados!$A$2:$A$2000),1,Feriados!$A$2:$A$2000))</f>
        <v>45566</v>
      </c>
      <c r="S35" s="34">
        <f>IF(OR(R35="",R35="Cadastrar ativo na aba Banco de Códigos B3"),"",NETWORKDAYS($B$1,R35-1,Feriados!$A$2:$A$2000))</f>
        <v>461</v>
      </c>
      <c r="T35" s="35">
        <f t="shared" si="0"/>
        <v>13.33</v>
      </c>
    </row>
    <row r="36" spans="1:20" s="22" customFormat="1" x14ac:dyDescent="0.25">
      <c r="A36" s="40" t="s">
        <v>92</v>
      </c>
      <c r="B36" s="41">
        <v>2761159</v>
      </c>
      <c r="C36" s="41">
        <v>2796502</v>
      </c>
      <c r="D36" s="41">
        <v>59484</v>
      </c>
      <c r="E36" s="41">
        <v>489940</v>
      </c>
      <c r="F36" s="41">
        <v>37879771544</v>
      </c>
      <c r="G36" s="42">
        <v>77479.91</v>
      </c>
      <c r="H36" s="42">
        <v>77479.91</v>
      </c>
      <c r="I36" s="40">
        <v>13.025</v>
      </c>
      <c r="J36" s="40">
        <v>13.025</v>
      </c>
      <c r="K36" s="40">
        <v>13.22</v>
      </c>
      <c r="L36" s="40">
        <v>13.144</v>
      </c>
      <c r="M36" s="40">
        <v>13.12</v>
      </c>
      <c r="N36" s="42">
        <v>77335.63</v>
      </c>
      <c r="O36" s="40" t="s">
        <v>142</v>
      </c>
      <c r="P36" s="40">
        <v>13.105</v>
      </c>
      <c r="Q36" s="40">
        <v>13.115</v>
      </c>
      <c r="R36" s="33">
        <f>IF(OR(A36="",LEN(A36)&lt;&gt;3),"",WORKDAY(WORKDAY(DATEVALUE("01/"&amp;VLOOKUP(LEFT(A36,1),$S$1:$U$13,3,FALSE)&amp;"/"&amp;20&amp;RIGHT(A36,2)),-1,Feriados!$A$2:$A$2000),1,Feriados!$A$2:$A$2000))</f>
        <v>45659</v>
      </c>
      <c r="S36" s="34">
        <f>IF(OR(R36="",R36="Cadastrar ativo na aba Banco de Códigos B3"),"",NETWORKDAYS($B$1,R36-1,Feriados!$A$2:$A$2000))</f>
        <v>525</v>
      </c>
      <c r="T36" s="35">
        <f t="shared" si="0"/>
        <v>13.13</v>
      </c>
    </row>
    <row r="37" spans="1:20" s="22" customFormat="1" x14ac:dyDescent="0.25">
      <c r="A37" s="40" t="s">
        <v>93</v>
      </c>
      <c r="B37" s="41">
        <v>93391</v>
      </c>
      <c r="C37" s="41">
        <v>93874</v>
      </c>
      <c r="D37" s="41">
        <v>569</v>
      </c>
      <c r="E37" s="41">
        <v>2765</v>
      </c>
      <c r="F37" s="41">
        <v>207927991</v>
      </c>
      <c r="G37" s="42">
        <v>75377.919999999998</v>
      </c>
      <c r="H37" s="42">
        <v>75377.919999999998</v>
      </c>
      <c r="I37" s="40">
        <v>12.984999999999999</v>
      </c>
      <c r="J37" s="40">
        <v>12.96</v>
      </c>
      <c r="K37" s="40">
        <v>13.11</v>
      </c>
      <c r="L37" s="40">
        <v>13.039</v>
      </c>
      <c r="M37" s="40">
        <v>13.02</v>
      </c>
      <c r="N37" s="42">
        <v>75217.919999999998</v>
      </c>
      <c r="O37" s="40" t="s">
        <v>143</v>
      </c>
      <c r="P37" s="40">
        <v>0</v>
      </c>
      <c r="Q37" s="40">
        <v>13.11</v>
      </c>
      <c r="R37" s="33">
        <f>IF(OR(A37="",LEN(A37)&lt;&gt;3),"",WORKDAY(WORKDAY(DATEVALUE("01/"&amp;VLOOKUP(LEFT(A37,1),$S$1:$U$13,3,FALSE)&amp;"/"&amp;20&amp;RIGHT(A37,2)),-1,Feriados!$A$2:$A$2000),1,Feriados!$A$2:$A$2000))</f>
        <v>45748</v>
      </c>
      <c r="S37" s="34">
        <f>IF(OR(R37="",R37="Cadastrar ativo na aba Banco de Códigos B3"),"",NETWORKDAYS($B$1,R37-1,Feriados!$A$2:$A$2000))</f>
        <v>586</v>
      </c>
      <c r="T37" s="35">
        <f t="shared" si="0"/>
        <v>13.03</v>
      </c>
    </row>
    <row r="38" spans="1:20" s="22" customFormat="1" x14ac:dyDescent="0.25">
      <c r="A38" s="40" t="s">
        <v>94</v>
      </c>
      <c r="B38" s="41">
        <v>1015490</v>
      </c>
      <c r="C38" s="41">
        <v>1014945</v>
      </c>
      <c r="D38" s="41">
        <v>10353</v>
      </c>
      <c r="E38" s="41">
        <v>60031</v>
      </c>
      <c r="F38" s="41">
        <v>4389697785</v>
      </c>
      <c r="G38" s="42">
        <v>73327.34</v>
      </c>
      <c r="H38" s="42">
        <v>73327.34</v>
      </c>
      <c r="I38" s="40">
        <v>12.914999999999999</v>
      </c>
      <c r="J38" s="40">
        <v>12.895</v>
      </c>
      <c r="K38" s="40">
        <v>13.05</v>
      </c>
      <c r="L38" s="40">
        <v>12.965</v>
      </c>
      <c r="M38" s="40">
        <v>12.945</v>
      </c>
      <c r="N38" s="42">
        <v>73150.399999999994</v>
      </c>
      <c r="O38" s="40" t="s">
        <v>144</v>
      </c>
      <c r="P38" s="40">
        <v>12.93</v>
      </c>
      <c r="Q38" s="40">
        <v>12.95</v>
      </c>
      <c r="R38" s="33">
        <f>IF(OR(A38="",LEN(A38)&lt;&gt;3),"",WORKDAY(WORKDAY(DATEVALUE("01/"&amp;VLOOKUP(LEFT(A38,1),$S$1:$U$13,3,FALSE)&amp;"/"&amp;20&amp;RIGHT(A38,2)),-1,Feriados!$A$2:$A$2000),1,Feriados!$A$2:$A$2000))</f>
        <v>45839</v>
      </c>
      <c r="S38" s="34">
        <f>IF(OR(R38="",R38="Cadastrar ativo na aba Banco de Códigos B3"),"",NETWORKDAYS($B$1,R38-1,Feriados!$A$2:$A$2000))</f>
        <v>647</v>
      </c>
      <c r="T38" s="35">
        <f t="shared" si="0"/>
        <v>12.95</v>
      </c>
    </row>
    <row r="39" spans="1:20" s="22" customFormat="1" x14ac:dyDescent="0.25">
      <c r="A39" s="40" t="s">
        <v>95</v>
      </c>
      <c r="B39" s="41">
        <v>70432</v>
      </c>
      <c r="C39" s="41">
        <v>70332</v>
      </c>
      <c r="D39" s="41">
        <v>123</v>
      </c>
      <c r="E39" s="41">
        <v>1045</v>
      </c>
      <c r="F39" s="41">
        <v>74014003</v>
      </c>
      <c r="G39" s="42">
        <v>71019.7</v>
      </c>
      <c r="H39" s="42">
        <v>71019.7</v>
      </c>
      <c r="I39" s="40">
        <v>12.98</v>
      </c>
      <c r="J39" s="40">
        <v>12.91</v>
      </c>
      <c r="K39" s="40">
        <v>13.02</v>
      </c>
      <c r="L39" s="40">
        <v>12.965</v>
      </c>
      <c r="M39" s="40">
        <v>12.92</v>
      </c>
      <c r="N39" s="42">
        <v>70809.84</v>
      </c>
      <c r="O39" s="40" t="s">
        <v>145</v>
      </c>
      <c r="P39" s="40">
        <v>0</v>
      </c>
      <c r="Q39" s="40">
        <v>0</v>
      </c>
      <c r="R39" s="33">
        <f>IF(OR(A39="",LEN(A39)&lt;&gt;3),"",WORKDAY(WORKDAY(DATEVALUE("01/"&amp;VLOOKUP(LEFT(A39,1),$S$1:$U$13,3,FALSE)&amp;"/"&amp;20&amp;RIGHT(A39,2)),-1,Feriados!$A$2:$A$2000),1,Feriados!$A$2:$A$2000))</f>
        <v>45931</v>
      </c>
      <c r="S39" s="34">
        <f>IF(OR(R39="",R39="Cadastrar ativo na aba Banco de Códigos B3"),"",NETWORKDAYS($B$1,R39-1,Feriados!$A$2:$A$2000))</f>
        <v>713</v>
      </c>
      <c r="T39" s="35">
        <f t="shared" si="0"/>
        <v>12.97</v>
      </c>
    </row>
    <row r="40" spans="1:20" s="22" customFormat="1" x14ac:dyDescent="0.25">
      <c r="A40" s="40" t="s">
        <v>96</v>
      </c>
      <c r="B40" s="41">
        <v>1444561</v>
      </c>
      <c r="C40" s="41">
        <v>1447126</v>
      </c>
      <c r="D40" s="41">
        <v>30764</v>
      </c>
      <c r="E40" s="41">
        <v>205043</v>
      </c>
      <c r="F40" s="41">
        <v>14101076175</v>
      </c>
      <c r="G40" s="42">
        <v>69051.600000000006</v>
      </c>
      <c r="H40" s="42">
        <v>69051.600000000006</v>
      </c>
      <c r="I40" s="40">
        <v>12.73</v>
      </c>
      <c r="J40" s="40">
        <v>12.73</v>
      </c>
      <c r="K40" s="40">
        <v>12.97</v>
      </c>
      <c r="L40" s="40">
        <v>12.891999999999999</v>
      </c>
      <c r="M40" s="40">
        <v>12.855</v>
      </c>
      <c r="N40" s="42">
        <v>68804.179999999993</v>
      </c>
      <c r="O40" s="40" t="s">
        <v>146</v>
      </c>
      <c r="P40" s="40">
        <v>12.845000000000001</v>
      </c>
      <c r="Q40" s="40">
        <v>12.855</v>
      </c>
      <c r="R40" s="33">
        <f>IF(OR(A40="",LEN(A40)&lt;&gt;3),"",WORKDAY(WORKDAY(DATEVALUE("01/"&amp;VLOOKUP(LEFT(A40,1),$S$1:$U$13,3,FALSE)&amp;"/"&amp;20&amp;RIGHT(A40,2)),-1,Feriados!$A$2:$A$2000),1,Feriados!$A$2:$A$2000))</f>
        <v>46024</v>
      </c>
      <c r="S40" s="34">
        <f>IF(OR(R40="",R40="Cadastrar ativo na aba Banco de Códigos B3"),"",NETWORKDAYS($B$1,R40-1,Feriados!$A$2:$A$2000))</f>
        <v>778</v>
      </c>
      <c r="T40" s="35">
        <f t="shared" si="0"/>
        <v>12.88</v>
      </c>
    </row>
    <row r="41" spans="1:20" s="22" customFormat="1" x14ac:dyDescent="0.25">
      <c r="A41" s="40" t="s">
        <v>97</v>
      </c>
      <c r="B41" s="41">
        <v>36644</v>
      </c>
      <c r="C41" s="41">
        <v>35784</v>
      </c>
      <c r="D41" s="41">
        <v>62</v>
      </c>
      <c r="E41" s="41">
        <v>948</v>
      </c>
      <c r="F41" s="41">
        <v>63273542</v>
      </c>
      <c r="G41" s="42">
        <v>67073.350000000006</v>
      </c>
      <c r="H41" s="42">
        <v>67073.350000000006</v>
      </c>
      <c r="I41" s="40">
        <v>12.914999999999999</v>
      </c>
      <c r="J41" s="40">
        <v>12.78</v>
      </c>
      <c r="K41" s="40">
        <v>12.945</v>
      </c>
      <c r="L41" s="40">
        <v>12.911</v>
      </c>
      <c r="M41" s="40">
        <v>12.835000000000001</v>
      </c>
      <c r="N41" s="42">
        <v>66824.25</v>
      </c>
      <c r="O41" s="40" t="s">
        <v>147</v>
      </c>
      <c r="P41" s="40">
        <v>0</v>
      </c>
      <c r="Q41" s="40">
        <v>0</v>
      </c>
      <c r="R41" s="33">
        <f>IF(OR(A41="",LEN(A41)&lt;&gt;3),"",WORKDAY(WORKDAY(DATEVALUE("01/"&amp;VLOOKUP(LEFT(A41,1),$S$1:$U$13,3,FALSE)&amp;"/"&amp;20&amp;RIGHT(A41,2)),-1,Feriados!$A$2:$A$2000),1,Feriados!$A$2:$A$2000))</f>
        <v>46113</v>
      </c>
      <c r="S41" s="34">
        <f>IF(OR(R41="",R41="Cadastrar ativo na aba Banco de Códigos B3"),"",NETWORKDAYS($B$1,R41-1,Feriados!$A$2:$A$2000))</f>
        <v>839</v>
      </c>
      <c r="T41" s="35">
        <f t="shared" si="0"/>
        <v>12.87</v>
      </c>
    </row>
    <row r="42" spans="1:20" s="22" customFormat="1" x14ac:dyDescent="0.25">
      <c r="A42" s="40" t="s">
        <v>98</v>
      </c>
      <c r="B42" s="41">
        <v>120317</v>
      </c>
      <c r="C42" s="41">
        <v>120072</v>
      </c>
      <c r="D42" s="41">
        <v>2248</v>
      </c>
      <c r="E42" s="41">
        <v>7234</v>
      </c>
      <c r="F42" s="41">
        <v>469804242</v>
      </c>
      <c r="G42" s="42">
        <v>65217.66</v>
      </c>
      <c r="H42" s="42">
        <v>65217.66</v>
      </c>
      <c r="I42" s="40">
        <v>12.83</v>
      </c>
      <c r="J42" s="40">
        <v>12.755000000000001</v>
      </c>
      <c r="K42" s="40">
        <v>12.925000000000001</v>
      </c>
      <c r="L42" s="40">
        <v>12.846</v>
      </c>
      <c r="M42" s="40">
        <v>12.795</v>
      </c>
      <c r="N42" s="42">
        <v>64968.160000000003</v>
      </c>
      <c r="O42" s="40" t="s">
        <v>148</v>
      </c>
      <c r="P42" s="40">
        <v>12.795</v>
      </c>
      <c r="Q42" s="40">
        <v>12.805</v>
      </c>
      <c r="R42" s="33">
        <f>IF(OR(A42="",LEN(A42)&lt;&gt;3),"",WORKDAY(WORKDAY(DATEVALUE("01/"&amp;VLOOKUP(LEFT(A42,1),$S$1:$U$13,3,FALSE)&amp;"/"&amp;20&amp;RIGHT(A42,2)),-1,Feriados!$A$2:$A$2000),1,Feriados!$A$2:$A$2000))</f>
        <v>46204</v>
      </c>
      <c r="S42" s="34">
        <f>IF(OR(R42="",R42="Cadastrar ativo na aba Banco de Códigos B3"),"",NETWORKDAYS($B$1,R42-1,Feriados!$A$2:$A$2000))</f>
        <v>900</v>
      </c>
      <c r="T42" s="35">
        <f t="shared" si="0"/>
        <v>12.84</v>
      </c>
    </row>
    <row r="43" spans="1:20" s="22" customFormat="1" x14ac:dyDescent="0.25">
      <c r="A43" s="40" t="s">
        <v>99</v>
      </c>
      <c r="B43" s="41">
        <v>52739</v>
      </c>
      <c r="C43" s="41">
        <v>52734</v>
      </c>
      <c r="D43" s="40">
        <v>39</v>
      </c>
      <c r="E43" s="41">
        <v>167</v>
      </c>
      <c r="F43" s="41">
        <v>10527061</v>
      </c>
      <c r="G43" s="42">
        <v>63271.53</v>
      </c>
      <c r="H43" s="42">
        <v>63271.53</v>
      </c>
      <c r="I43" s="40">
        <v>12.895</v>
      </c>
      <c r="J43" s="40">
        <v>12.765000000000001</v>
      </c>
      <c r="K43" s="40">
        <v>12.895</v>
      </c>
      <c r="L43" s="40">
        <v>12.805999999999999</v>
      </c>
      <c r="M43" s="40">
        <v>12.765000000000001</v>
      </c>
      <c r="N43" s="42">
        <v>63033.5</v>
      </c>
      <c r="O43" s="40" t="s">
        <v>149</v>
      </c>
      <c r="P43" s="40">
        <v>0</v>
      </c>
      <c r="Q43" s="40">
        <v>0</v>
      </c>
      <c r="R43" s="33">
        <f>IF(OR(A43="",LEN(A43)&lt;&gt;3),"",WORKDAY(WORKDAY(DATEVALUE("01/"&amp;VLOOKUP(LEFT(A43,1),$S$1:$U$13,3,FALSE)&amp;"/"&amp;20&amp;RIGHT(A43,2)),-1,Feriados!$A$2:$A$2000),1,Feriados!$A$2:$A$2000))</f>
        <v>46296</v>
      </c>
      <c r="S43" s="34">
        <f>IF(OR(R43="",R43="Cadastrar ativo na aba Banco de Códigos B3"),"",NETWORKDAYS($B$1,R43-1,Feriados!$A$2:$A$2000))</f>
        <v>965</v>
      </c>
      <c r="T43" s="35">
        <f t="shared" si="0"/>
        <v>12.81</v>
      </c>
    </row>
    <row r="44" spans="1:20" s="22" customFormat="1" x14ac:dyDescent="0.25">
      <c r="A44" s="40" t="s">
        <v>100</v>
      </c>
      <c r="B44" s="41">
        <v>984606</v>
      </c>
      <c r="C44" s="41">
        <v>997171</v>
      </c>
      <c r="D44" s="41">
        <v>34886</v>
      </c>
      <c r="E44" s="41">
        <v>211041</v>
      </c>
      <c r="F44" s="41">
        <v>12924396865</v>
      </c>
      <c r="G44" s="42">
        <v>61515.53</v>
      </c>
      <c r="H44" s="42">
        <v>61515.53</v>
      </c>
      <c r="I44" s="40">
        <v>12.685</v>
      </c>
      <c r="J44" s="40">
        <v>12.68</v>
      </c>
      <c r="K44" s="40">
        <v>12.865</v>
      </c>
      <c r="L44" s="40">
        <v>12.772</v>
      </c>
      <c r="M44" s="40">
        <v>12.725</v>
      </c>
      <c r="N44" s="42">
        <v>61291.12</v>
      </c>
      <c r="O44" s="40" t="s">
        <v>150</v>
      </c>
      <c r="P44" s="40">
        <v>12.725</v>
      </c>
      <c r="Q44" s="40">
        <v>12.73</v>
      </c>
      <c r="R44" s="33">
        <f>IF(OR(A44="",LEN(A44)&lt;&gt;3),"",WORKDAY(WORKDAY(DATEVALUE("01/"&amp;VLOOKUP(LEFT(A44,1),$S$1:$U$13,3,FALSE)&amp;"/"&amp;20&amp;RIGHT(A44,2)),-1,Feriados!$A$2:$A$2000),1,Feriados!$A$2:$A$2000))</f>
        <v>46391</v>
      </c>
      <c r="S44" s="34">
        <f>IF(OR(R44="",R44="Cadastrar ativo na aba Banco de Códigos B3"),"",NETWORKDAYS($B$1,R44-1,Feriados!$A$2:$A$2000))</f>
        <v>1028</v>
      </c>
      <c r="T44" s="35">
        <f t="shared" si="0"/>
        <v>12.75</v>
      </c>
    </row>
    <row r="45" spans="1:20" s="22" customFormat="1" x14ac:dyDescent="0.25">
      <c r="A45" s="40" t="s">
        <v>101</v>
      </c>
      <c r="B45" s="41">
        <v>25438</v>
      </c>
      <c r="C45" s="41">
        <v>25438</v>
      </c>
      <c r="D45" s="41">
        <v>8</v>
      </c>
      <c r="E45" s="41">
        <v>75</v>
      </c>
      <c r="F45" s="41">
        <v>4474200</v>
      </c>
      <c r="G45" s="42">
        <v>59818.35</v>
      </c>
      <c r="H45" s="42">
        <v>59818.35</v>
      </c>
      <c r="I45" s="40">
        <v>12.71</v>
      </c>
      <c r="J45" s="40">
        <v>12.71</v>
      </c>
      <c r="K45" s="40">
        <v>12.71</v>
      </c>
      <c r="L45" s="40">
        <v>12.71</v>
      </c>
      <c r="M45" s="40">
        <v>12.71</v>
      </c>
      <c r="N45" s="42">
        <v>59582.94</v>
      </c>
      <c r="O45" s="40" t="s">
        <v>151</v>
      </c>
      <c r="P45" s="40">
        <v>12.685</v>
      </c>
      <c r="Q45" s="40">
        <v>12.725</v>
      </c>
      <c r="R45" s="33">
        <f>IF(OR(A45="",LEN(A45)&lt;&gt;3),"",WORKDAY(WORKDAY(DATEVALUE("01/"&amp;VLOOKUP(LEFT(A45,1),$S$1:$U$13,3,FALSE)&amp;"/"&amp;20&amp;RIGHT(A45,2)),-1,Feriados!$A$2:$A$2000),1,Feriados!$A$2:$A$2000))</f>
        <v>46478</v>
      </c>
      <c r="S45" s="34">
        <f>IF(OR(R45="",R45="Cadastrar ativo na aba Banco de Códigos B3"),"",NETWORKDAYS($B$1,R45-1,Feriados!$A$2:$A$2000))</f>
        <v>1088</v>
      </c>
      <c r="T45" s="35">
        <f t="shared" si="0"/>
        <v>12.74</v>
      </c>
    </row>
    <row r="46" spans="1:20" s="22" customFormat="1" x14ac:dyDescent="0.25">
      <c r="A46" s="40" t="s">
        <v>124</v>
      </c>
      <c r="B46" s="41">
        <v>20901</v>
      </c>
      <c r="C46" s="41">
        <v>20821</v>
      </c>
      <c r="D46" s="41">
        <v>12</v>
      </c>
      <c r="E46" s="41">
        <v>80</v>
      </c>
      <c r="F46" s="41">
        <v>4633482</v>
      </c>
      <c r="G46" s="42">
        <v>58130.6</v>
      </c>
      <c r="H46" s="42">
        <v>58130.6</v>
      </c>
      <c r="I46" s="40">
        <v>12.705</v>
      </c>
      <c r="J46" s="40">
        <v>12.7</v>
      </c>
      <c r="K46" s="40">
        <v>12.705</v>
      </c>
      <c r="L46" s="40">
        <v>12.701000000000001</v>
      </c>
      <c r="M46" s="40">
        <v>12.7</v>
      </c>
      <c r="N46" s="42">
        <v>57881.58</v>
      </c>
      <c r="O46" s="40" t="s">
        <v>152</v>
      </c>
      <c r="P46" s="40">
        <v>12.675000000000001</v>
      </c>
      <c r="Q46" s="40">
        <v>12.72</v>
      </c>
      <c r="R46" s="33">
        <f>IF(OR(A46="",LEN(A46)&lt;&gt;3),"",WORKDAY(WORKDAY(DATEVALUE("01/"&amp;VLOOKUP(LEFT(A46,1),$S$1:$U$13,3,FALSE)&amp;"/"&amp;20&amp;RIGHT(A46,2)),-1,Feriados!$A$2:$A$2000),1,Feriados!$A$2:$A$2000))</f>
        <v>46569</v>
      </c>
      <c r="S46" s="34">
        <f>IF(OR(R46="",R46="Cadastrar ativo na aba Banco de Códigos B3"),"",NETWORKDAYS($B$1,R46-1,Feriados!$A$2:$A$2000))</f>
        <v>1151</v>
      </c>
      <c r="T46" s="35">
        <f t="shared" si="0"/>
        <v>12.72</v>
      </c>
    </row>
    <row r="47" spans="1:20" s="22" customFormat="1" x14ac:dyDescent="0.25">
      <c r="A47" s="40" t="s">
        <v>125</v>
      </c>
      <c r="B47" s="41">
        <v>20976</v>
      </c>
      <c r="C47" s="41">
        <v>20976</v>
      </c>
      <c r="D47" s="41">
        <v>0</v>
      </c>
      <c r="E47" s="41">
        <v>0</v>
      </c>
      <c r="F47" s="41">
        <v>0</v>
      </c>
      <c r="G47" s="42">
        <v>56412.93</v>
      </c>
      <c r="H47" s="42">
        <v>56412.93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2">
        <v>56152.89</v>
      </c>
      <c r="O47" s="40" t="s">
        <v>153</v>
      </c>
      <c r="P47" s="40">
        <v>12.66</v>
      </c>
      <c r="Q47" s="40">
        <v>12.71</v>
      </c>
      <c r="R47" s="33">
        <f>IF(OR(A47="",LEN(A47)&lt;&gt;3),"",WORKDAY(WORKDAY(DATEVALUE("01/"&amp;VLOOKUP(LEFT(A47,1),$S$1:$U$13,3,FALSE)&amp;"/"&amp;20&amp;RIGHT(A47,2)),-1,Feriados!$A$2:$A$2000),1,Feriados!$A$2:$A$2000))</f>
        <v>46661</v>
      </c>
      <c r="S47" s="34">
        <f>IF(OR(R47="",R47="Cadastrar ativo na aba Banco de Códigos B3"),"",NETWORKDAYS($B$1,R47-1,Feriados!$A$2:$A$2000))</f>
        <v>1216</v>
      </c>
      <c r="T47" s="35">
        <f t="shared" si="0"/>
        <v>12.7</v>
      </c>
    </row>
    <row r="48" spans="1:20" s="22" customFormat="1" x14ac:dyDescent="0.25">
      <c r="A48" s="40" t="s">
        <v>102</v>
      </c>
      <c r="B48" s="41">
        <v>114758</v>
      </c>
      <c r="C48" s="41">
        <v>117720</v>
      </c>
      <c r="D48" s="41">
        <v>2103</v>
      </c>
      <c r="E48" s="41">
        <v>8501</v>
      </c>
      <c r="F48" s="41">
        <v>462597864</v>
      </c>
      <c r="G48" s="42">
        <v>54781.52</v>
      </c>
      <c r="H48" s="42">
        <v>54781.52</v>
      </c>
      <c r="I48" s="40">
        <v>12.68</v>
      </c>
      <c r="J48" s="40">
        <v>12.63</v>
      </c>
      <c r="K48" s="40">
        <v>12.83</v>
      </c>
      <c r="L48" s="40">
        <v>12.737</v>
      </c>
      <c r="M48" s="40">
        <v>12.69</v>
      </c>
      <c r="N48" s="42">
        <v>54508.66</v>
      </c>
      <c r="O48" s="40" t="s">
        <v>154</v>
      </c>
      <c r="P48" s="40">
        <v>12.66</v>
      </c>
      <c r="Q48" s="40">
        <v>12.7</v>
      </c>
      <c r="R48" s="33">
        <f>IF(OR(A48="",LEN(A48)&lt;&gt;3),"",WORKDAY(WORKDAY(DATEVALUE("01/"&amp;VLOOKUP(LEFT(A48,1),$S$1:$U$13,3,FALSE)&amp;"/"&amp;20&amp;RIGHT(A48,2)),-1,Feriados!$A$2:$A$2000),1,Feriados!$A$2:$A$2000))</f>
        <v>46755</v>
      </c>
      <c r="S48" s="34">
        <f>IF(OR(R48="",R48="Cadastrar ativo na aba Banco de Códigos B3"),"",NETWORKDAYS($B$1,R48-1,Feriados!$A$2:$A$2000))</f>
        <v>1279</v>
      </c>
      <c r="T48" s="35">
        <f t="shared" si="0"/>
        <v>12.7</v>
      </c>
    </row>
    <row r="49" spans="1:20" s="22" customFormat="1" x14ac:dyDescent="0.25">
      <c r="A49" s="40" t="s">
        <v>103</v>
      </c>
      <c r="B49" s="41">
        <v>463709</v>
      </c>
      <c r="C49" s="41">
        <v>466497</v>
      </c>
      <c r="D49" s="41">
        <v>13827</v>
      </c>
      <c r="E49" s="41">
        <v>61306</v>
      </c>
      <c r="F49" s="41">
        <v>2961987164</v>
      </c>
      <c r="G49" s="42">
        <v>48593.41</v>
      </c>
      <c r="H49" s="42">
        <v>48593.41</v>
      </c>
      <c r="I49" s="40">
        <v>12.7</v>
      </c>
      <c r="J49" s="40">
        <v>12.66</v>
      </c>
      <c r="K49" s="40">
        <v>12.86</v>
      </c>
      <c r="L49" s="40">
        <v>12.746</v>
      </c>
      <c r="M49" s="40">
        <v>12.7</v>
      </c>
      <c r="N49" s="42">
        <v>48304.959999999999</v>
      </c>
      <c r="O49" s="40" t="s">
        <v>155</v>
      </c>
      <c r="P49" s="40">
        <v>12.7</v>
      </c>
      <c r="Q49" s="40">
        <v>12.72</v>
      </c>
      <c r="R49" s="33">
        <f>IF(OR(A49="",LEN(A49)&lt;&gt;3),"",WORKDAY(WORKDAY(DATEVALUE("01/"&amp;VLOOKUP(LEFT(A49,1),$S$1:$U$13,3,FALSE)&amp;"/"&amp;20&amp;RIGHT(A49,2)),-1,Feriados!$A$2:$A$2000),1,Feriados!$A$2:$A$2000))</f>
        <v>47120</v>
      </c>
      <c r="S49" s="34">
        <f>IF(OR(R49="",R49="Cadastrar ativo na aba Banco de Códigos B3"),"",NETWORKDAYS($B$1,R49-1,Feriados!$A$2:$A$2000))</f>
        <v>1528</v>
      </c>
      <c r="T49" s="35">
        <f t="shared" si="0"/>
        <v>12.75</v>
      </c>
    </row>
    <row r="50" spans="1:20" s="22" customFormat="1" x14ac:dyDescent="0.25">
      <c r="A50" s="40" t="s">
        <v>104</v>
      </c>
      <c r="B50" s="41">
        <v>52741</v>
      </c>
      <c r="C50" s="41">
        <v>52830</v>
      </c>
      <c r="D50" s="41">
        <v>190</v>
      </c>
      <c r="E50" s="41">
        <v>856</v>
      </c>
      <c r="F50" s="41">
        <v>36676901</v>
      </c>
      <c r="G50" s="42">
        <v>43181.24</v>
      </c>
      <c r="H50" s="42">
        <v>43181.24</v>
      </c>
      <c r="I50" s="40">
        <v>12.73</v>
      </c>
      <c r="J50" s="40">
        <v>12.66</v>
      </c>
      <c r="K50" s="40">
        <v>12.83</v>
      </c>
      <c r="L50" s="40">
        <v>12.763</v>
      </c>
      <c r="M50" s="40">
        <v>12.73</v>
      </c>
      <c r="N50" s="42">
        <v>42869.94</v>
      </c>
      <c r="O50" s="40" t="s">
        <v>156</v>
      </c>
      <c r="P50" s="40">
        <v>0</v>
      </c>
      <c r="Q50" s="40">
        <v>0</v>
      </c>
      <c r="R50" s="33">
        <f>IF(OR(A50="",LEN(A50)&lt;&gt;3),"",WORKDAY(WORKDAY(DATEVALUE("01/"&amp;VLOOKUP(LEFT(A50,1),$S$1:$U$13,3,FALSE)&amp;"/"&amp;20&amp;RIGHT(A50,2)),-1,Feriados!$A$2:$A$2000),1,Feriados!$A$2:$A$2000))</f>
        <v>47485</v>
      </c>
      <c r="S50" s="34">
        <f>IF(OR(R50="",R50="Cadastrar ativo na aba Banco de Códigos B3"),"",NETWORKDAYS($B$1,R50-1,Feriados!$A$2:$A$2000))</f>
        <v>1778</v>
      </c>
      <c r="T50" s="35">
        <f t="shared" si="0"/>
        <v>12.76</v>
      </c>
    </row>
    <row r="51" spans="1:20" s="22" customFormat="1" x14ac:dyDescent="0.25">
      <c r="A51" s="40" t="s">
        <v>105</v>
      </c>
      <c r="B51" s="41">
        <v>305580</v>
      </c>
      <c r="C51" s="41">
        <v>323145</v>
      </c>
      <c r="D51" s="41">
        <v>7332</v>
      </c>
      <c r="E51" s="41">
        <v>43874</v>
      </c>
      <c r="F51" s="41">
        <v>1669198370</v>
      </c>
      <c r="G51" s="42">
        <v>38372.42</v>
      </c>
      <c r="H51" s="42">
        <v>38372.42</v>
      </c>
      <c r="I51" s="40">
        <v>12.66</v>
      </c>
      <c r="J51" s="40">
        <v>12.64</v>
      </c>
      <c r="K51" s="40">
        <v>12.86</v>
      </c>
      <c r="L51" s="40">
        <v>12.739000000000001</v>
      </c>
      <c r="M51" s="40">
        <v>12.72</v>
      </c>
      <c r="N51" s="42">
        <v>38043.1</v>
      </c>
      <c r="O51" s="40" t="s">
        <v>157</v>
      </c>
      <c r="P51" s="40">
        <v>12.68</v>
      </c>
      <c r="Q51" s="40">
        <v>12.71</v>
      </c>
      <c r="R51" s="33">
        <f>IF(OR(A51="",LEN(A51)&lt;&gt;3),"",WORKDAY(WORKDAY(DATEVALUE("01/"&amp;VLOOKUP(LEFT(A51,1),$S$1:$U$13,3,FALSE)&amp;"/"&amp;20&amp;RIGHT(A51,2)),-1,Feriados!$A$2:$A$2000),1,Feriados!$A$2:$A$2000))</f>
        <v>47850</v>
      </c>
      <c r="S51" s="34">
        <f>IF(OR(R51="",R51="Cadastrar ativo na aba Banco de Códigos B3"),"",NETWORKDAYS($B$1,R51-1,Feriados!$A$2:$A$2000))</f>
        <v>2031</v>
      </c>
      <c r="T51" s="35">
        <f t="shared" si="0"/>
        <v>12.74</v>
      </c>
    </row>
    <row r="52" spans="1:20" s="22" customFormat="1" x14ac:dyDescent="0.25">
      <c r="A52" s="40" t="s">
        <v>106</v>
      </c>
      <c r="B52" s="41">
        <v>23085</v>
      </c>
      <c r="C52" s="41">
        <v>23885</v>
      </c>
      <c r="D52" s="40">
        <v>531</v>
      </c>
      <c r="E52" s="41">
        <v>838</v>
      </c>
      <c r="F52" s="41">
        <v>28345725</v>
      </c>
      <c r="G52" s="42">
        <v>34138.78</v>
      </c>
      <c r="H52" s="42">
        <v>34138.78</v>
      </c>
      <c r="I52" s="40">
        <v>12.7</v>
      </c>
      <c r="J52" s="40">
        <v>12.63</v>
      </c>
      <c r="K52" s="40">
        <v>12.75</v>
      </c>
      <c r="L52" s="40">
        <v>12.704000000000001</v>
      </c>
      <c r="M52" s="40">
        <v>12.69</v>
      </c>
      <c r="N52" s="42">
        <v>33823.1</v>
      </c>
      <c r="O52" s="40" t="s">
        <v>158</v>
      </c>
      <c r="P52" s="40">
        <v>0</v>
      </c>
      <c r="Q52" s="40">
        <v>0</v>
      </c>
      <c r="R52" s="33">
        <f>IF(OR(A52="",LEN(A52)&lt;&gt;3),"",WORKDAY(WORKDAY(DATEVALUE("01/"&amp;VLOOKUP(LEFT(A52,1),$S$1:$U$13,3,FALSE)&amp;"/"&amp;20&amp;RIGHT(A52,2)),-1,Feriados!$A$2:$A$2000),1,Feriados!$A$2:$A$2000))</f>
        <v>48215</v>
      </c>
      <c r="S52" s="34">
        <f>IF(OR(R52="",R52="Cadastrar ativo na aba Banco de Códigos B3"),"",NETWORKDAYS($B$1,R52-1,Feriados!$A$2:$A$2000))</f>
        <v>2284</v>
      </c>
      <c r="T52" s="35">
        <f t="shared" si="0"/>
        <v>12.7</v>
      </c>
    </row>
    <row r="53" spans="1:20" s="22" customFormat="1" x14ac:dyDescent="0.25">
      <c r="A53" s="40" t="s">
        <v>107</v>
      </c>
      <c r="B53" s="41">
        <v>174074</v>
      </c>
      <c r="C53" s="41">
        <v>172758</v>
      </c>
      <c r="D53" s="41">
        <v>3148</v>
      </c>
      <c r="E53" s="41">
        <v>18225</v>
      </c>
      <c r="F53" s="41">
        <v>545737706</v>
      </c>
      <c r="G53" s="42">
        <v>30267.15</v>
      </c>
      <c r="H53" s="42">
        <v>30267.15</v>
      </c>
      <c r="I53" s="40">
        <v>12.62</v>
      </c>
      <c r="J53" s="40">
        <v>12.62</v>
      </c>
      <c r="K53" s="40">
        <v>12.85</v>
      </c>
      <c r="L53" s="40">
        <v>12.728999999999999</v>
      </c>
      <c r="M53" s="40">
        <v>12.68</v>
      </c>
      <c r="N53" s="42">
        <v>29970.12</v>
      </c>
      <c r="O53" s="40" t="s">
        <v>159</v>
      </c>
      <c r="P53" s="40">
        <v>0</v>
      </c>
      <c r="Q53" s="40">
        <v>12.69</v>
      </c>
      <c r="R53" s="33">
        <f>IF(OR(A53="",LEN(A53)&lt;&gt;3),"",WORKDAY(WORKDAY(DATEVALUE("01/"&amp;VLOOKUP(LEFT(A53,1),$S$1:$U$13,3,FALSE)&amp;"/"&amp;20&amp;RIGHT(A53,2)),-1,Feriados!$A$2:$A$2000),1,Feriados!$A$2:$A$2000))</f>
        <v>48582</v>
      </c>
      <c r="S53" s="34">
        <f>IF(OR(R53="",R53="Cadastrar ativo na aba Banco de Códigos B3"),"",NETWORKDAYS($B$1,R53-1,Feriados!$A$2:$A$2000))</f>
        <v>2536</v>
      </c>
      <c r="T53" s="35">
        <f t="shared" si="0"/>
        <v>12.72</v>
      </c>
    </row>
    <row r="54" spans="1:20" s="22" customFormat="1" x14ac:dyDescent="0.25">
      <c r="A54" s="40" t="s">
        <v>108</v>
      </c>
      <c r="B54" s="41">
        <v>1105</v>
      </c>
      <c r="C54" s="41">
        <v>1105</v>
      </c>
      <c r="D54" s="40">
        <v>0</v>
      </c>
      <c r="E54" s="40">
        <v>0</v>
      </c>
      <c r="F54" s="40">
        <v>0</v>
      </c>
      <c r="G54" s="42">
        <v>26816.66</v>
      </c>
      <c r="H54" s="42">
        <v>26816.66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2">
        <v>26527.78</v>
      </c>
      <c r="O54" s="40" t="s">
        <v>160</v>
      </c>
      <c r="P54" s="40">
        <v>0</v>
      </c>
      <c r="Q54" s="40">
        <v>0</v>
      </c>
      <c r="R54" s="33">
        <f>IF(OR(A54="",LEN(A54)&lt;&gt;3),"",WORKDAY(WORKDAY(DATEVALUE("01/"&amp;VLOOKUP(LEFT(A54,1),$S$1:$U$13,3,FALSE)&amp;"/"&amp;20&amp;RIGHT(A54,2)),-1,Feriados!$A$2:$A$2000),1,Feriados!$A$2:$A$2000))</f>
        <v>48946</v>
      </c>
      <c r="S54" s="34">
        <f>IF(OR(R54="",R54="Cadastrar ativo na aba Banco de Códigos B3"),"",NETWORKDAYS($B$1,R54-1,Feriados!$A$2:$A$2000))</f>
        <v>2787</v>
      </c>
      <c r="T54" s="35">
        <f t="shared" si="0"/>
        <v>12.75</v>
      </c>
    </row>
    <row r="55" spans="1:20" s="22" customFormat="1" x14ac:dyDescent="0.25">
      <c r="A55" s="40" t="s">
        <v>109</v>
      </c>
      <c r="B55" s="41">
        <v>3260</v>
      </c>
      <c r="C55" s="41">
        <v>3260</v>
      </c>
      <c r="D55" s="40">
        <v>0</v>
      </c>
      <c r="E55" s="40">
        <v>0</v>
      </c>
      <c r="F55" s="40">
        <v>0</v>
      </c>
      <c r="G55" s="42">
        <v>23913.119999999999</v>
      </c>
      <c r="H55" s="42">
        <v>23913.119999999999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2">
        <v>23632.63</v>
      </c>
      <c r="O55" s="40" t="s">
        <v>161</v>
      </c>
      <c r="P55" s="40">
        <v>0</v>
      </c>
      <c r="Q55" s="40">
        <v>0</v>
      </c>
      <c r="R55" s="33">
        <f>IF(OR(A55="",LEN(A55)&lt;&gt;3),"",WORKDAY(WORKDAY(DATEVALUE("01/"&amp;VLOOKUP(LEFT(A55,1),$S$1:$U$13,3,FALSE)&amp;"/"&amp;20&amp;RIGHT(A55,2)),-1,Feriados!$A$2:$A$2000),1,Feriados!$A$2:$A$2000))</f>
        <v>49311</v>
      </c>
      <c r="S55" s="34">
        <f>IF(OR(R55="",R55="Cadastrar ativo na aba Banco de Códigos B3"),"",NETWORKDAYS($B$1,R55-1,Feriados!$A$2:$A$2000))</f>
        <v>3036</v>
      </c>
      <c r="T55" s="35">
        <f t="shared" si="0"/>
        <v>12.72</v>
      </c>
    </row>
    <row r="56" spans="1:20" s="22" customFormat="1" x14ac:dyDescent="0.25">
      <c r="A56" s="38" t="s">
        <v>110</v>
      </c>
      <c r="B56" s="43">
        <v>19850</v>
      </c>
      <c r="C56" s="43">
        <v>19850</v>
      </c>
      <c r="D56" s="38">
        <v>0</v>
      </c>
      <c r="E56" s="38">
        <v>0</v>
      </c>
      <c r="F56" s="38">
        <v>0</v>
      </c>
      <c r="G56" s="44">
        <v>21280</v>
      </c>
      <c r="H56" s="44">
        <v>21280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44">
        <v>21010</v>
      </c>
      <c r="O56" s="38" t="s">
        <v>162</v>
      </c>
      <c r="P56" s="38">
        <v>0</v>
      </c>
      <c r="Q56" s="38">
        <v>0</v>
      </c>
      <c r="R56" s="33">
        <f>IF(OR(A56="",LEN(A56)&lt;&gt;3),"",WORKDAY(WORKDAY(DATEVALUE("01/"&amp;VLOOKUP(LEFT(A56,1),$S$1:$U$13,3,FALSE)&amp;"/"&amp;20&amp;RIGHT(A56,2)),-1,Feriados!$A$2:$A$2000),1,Feriados!$A$2:$A$2000))</f>
        <v>49676</v>
      </c>
      <c r="S56" s="34">
        <f>IF(OR(R56="",R56="Cadastrar ativo na aba Banco de Códigos B3"),"",NETWORKDAYS($B$1,R56-1,Feriados!$A$2:$A$2000))</f>
        <v>3286</v>
      </c>
      <c r="T56" s="35">
        <f t="shared" si="0"/>
        <v>12.71</v>
      </c>
    </row>
    <row r="57" spans="1:20" s="22" customFormat="1" x14ac:dyDescent="0.25">
      <c r="A57" s="38" t="s">
        <v>111</v>
      </c>
      <c r="B57" s="38">
        <v>810</v>
      </c>
      <c r="C57" s="38">
        <v>810</v>
      </c>
      <c r="D57" s="38">
        <v>0</v>
      </c>
      <c r="E57" s="38">
        <v>0</v>
      </c>
      <c r="F57" s="38">
        <v>0</v>
      </c>
      <c r="G57" s="44">
        <v>18880.97</v>
      </c>
      <c r="H57" s="44">
        <v>18880.97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44">
        <v>18623.07</v>
      </c>
      <c r="O57" s="38" t="s">
        <v>163</v>
      </c>
      <c r="P57" s="38">
        <v>12.4</v>
      </c>
      <c r="Q57" s="38">
        <v>13.5</v>
      </c>
      <c r="R57" s="33">
        <f>IF(OR(A57="",LEN(A57)&lt;&gt;3),"",WORKDAY(WORKDAY(DATEVALUE("01/"&amp;VLOOKUP(LEFT(A57,1),$S$1:$U$13,3,FALSE)&amp;"/"&amp;20&amp;RIGHT(A57,2)),-1,Feriados!$A$2:$A$2000),1,Feriados!$A$2:$A$2000))</f>
        <v>50042</v>
      </c>
      <c r="S57" s="34">
        <f>IF(OR(R57="",R57="Cadastrar ativo na aba Banco de Códigos B3"),"",NETWORKDAYS($B$1,R57-1,Feriados!$A$2:$A$2000))</f>
        <v>3540</v>
      </c>
      <c r="T57" s="35">
        <f t="shared" si="0"/>
        <v>12.71</v>
      </c>
    </row>
    <row r="58" spans="1:20" s="22" customForma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3" t="str">
        <f>IF(OR(A58="",LEN(A58)&lt;&gt;3),"",WORKDAY(WORKDAY(DATEVALUE("01/"&amp;VLOOKUP(LEFT(A58,1),$S$1:$U$13,3,FALSE)&amp;"/"&amp;20&amp;RIGHT(A58,2)),-1,Feriados!$A$2:$A$2000),1,Feriados!$A$2:$A$2000))</f>
        <v/>
      </c>
      <c r="S58" s="34" t="str">
        <f>IF(OR(R58="",R58="Cadastrar ativo na aba Banco de Códigos B3"),"",NETWORKDAYS($B$1,R58-1,Feriados!$A$2:$A$2000))</f>
        <v/>
      </c>
      <c r="T58" s="35" t="str">
        <f t="shared" si="0"/>
        <v/>
      </c>
    </row>
    <row r="59" spans="1:20" s="22" customFormat="1" x14ac:dyDescent="0.25">
      <c r="A59" s="38" t="s">
        <v>164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3" t="str">
        <f>IF(OR(A59="",LEN(A59)&lt;&gt;3),"",WORKDAY(WORKDAY(DATEVALUE("01/"&amp;VLOOKUP(LEFT(A59,1),$S$1:$U$13,3,FALSE)&amp;"/"&amp;20&amp;RIGHT(A59,2)),-1,Feriados!$A$2:$A$2000),1,Feriados!$A$2:$A$2000))</f>
        <v/>
      </c>
      <c r="S59" s="34" t="str">
        <f>IF(OR(R59="",R59="Cadastrar ativo na aba Banco de Códigos B3"),"",NETWORKDAYS($B$1,R59-1,Feriados!$A$2:$A$2000))</f>
        <v/>
      </c>
      <c r="T59" s="35" t="str">
        <f t="shared" si="0"/>
        <v/>
      </c>
    </row>
    <row r="60" spans="1:20" s="22" customFormat="1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3" t="str">
        <f>IF(OR(A60="",LEN(A60)&lt;&gt;3),"",WORKDAY(WORKDAY(DATEVALUE("01/"&amp;VLOOKUP(LEFT(A60,1),$S$1:$U$13,3,FALSE)&amp;"/"&amp;20&amp;RIGHT(A60,2)),-1,Feriados!$A$2:$A$2000),1,Feriados!$A$2:$A$2000))</f>
        <v/>
      </c>
      <c r="S60" s="34" t="str">
        <f>IF(OR(R60="",R60="Cadastrar ativo na aba Banco de Códigos B3"),"",NETWORKDAYS($B$1,R60-1,Feriados!$A$2:$A$2000))</f>
        <v/>
      </c>
      <c r="T60" s="35" t="str">
        <f t="shared" si="0"/>
        <v/>
      </c>
    </row>
    <row r="61" spans="1:20" x14ac:dyDescent="0.25">
      <c r="A61" s="38" t="s">
        <v>112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3" t="str">
        <f>IF(OR(A61="",LEN(A61)&lt;&gt;3),"",WORKDAY(WORKDAY(DATEVALUE("01/"&amp;VLOOKUP(LEFT(A61,1),$S$1:$U$13,3,FALSE)&amp;"/"&amp;20&amp;RIGHT(A61,2)),-1,Feriados!$A$2:$A$2000),1,Feriados!$A$2:$A$2000))</f>
        <v/>
      </c>
      <c r="S61" s="34" t="str">
        <f>IF(OR(R61="",R61="Cadastrar ativo na aba Banco de Códigos B3"),"",NETWORKDAYS($B$1,R61-1,Feriados!$A$2:$A$2000))</f>
        <v/>
      </c>
      <c r="T61" s="35" t="str">
        <f t="shared" si="0"/>
        <v/>
      </c>
    </row>
    <row r="62" spans="1:20" ht="15.6" x14ac:dyDescent="0.25">
      <c r="A62" s="4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3" t="str">
        <f>IF(OR(A62="",LEN(A62)&lt;&gt;3),"",WORKDAY(WORKDAY(DATEVALUE("01/"&amp;VLOOKUP(LEFT(A62,1),$S$1:$U$13,3,FALSE)&amp;"/"&amp;20&amp;RIGHT(A62,2)),-1,Feriados!$A$2:$A$2000),1,Feriados!$A$2:$A$2000))</f>
        <v/>
      </c>
      <c r="S62" s="34" t="str">
        <f>IF(OR(R62="",R62="Cadastrar ativo na aba Banco de Códigos B3"),"",NETWORKDAYS($B$1,R62-1,Feriados!$A$2:$A$2000))</f>
        <v/>
      </c>
      <c r="T62" s="35" t="str">
        <f t="shared" si="0"/>
        <v/>
      </c>
    </row>
    <row r="63" spans="1:20" x14ac:dyDescent="0.25">
      <c r="A63" s="38" t="s">
        <v>113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3" t="str">
        <f>IF(OR(A63="",LEN(A63)&lt;&gt;3),"",WORKDAY(WORKDAY(DATEVALUE("01/"&amp;VLOOKUP(LEFT(A63,1),$S$1:$U$13,3,FALSE)&amp;"/"&amp;20&amp;RIGHT(A63,2)),-1,Feriados!$A$2:$A$2000),1,Feriados!$A$2:$A$2000))</f>
        <v/>
      </c>
      <c r="S63" s="34" t="str">
        <f>IF(OR(R63="",R63="Cadastrar ativo na aba Banco de Códigos B3"),"",NETWORKDAYS($B$1,R63-1,Feriados!$A$2:$A$2000))</f>
        <v/>
      </c>
      <c r="T63" s="35" t="str">
        <f t="shared" si="0"/>
        <v/>
      </c>
    </row>
    <row r="64" spans="1:20" ht="15.6" x14ac:dyDescent="0.25">
      <c r="A64" s="4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3" t="str">
        <f>IF(OR(A64="",LEN(A64)&lt;&gt;3),"",WORKDAY(WORKDAY(DATEVALUE("01/"&amp;VLOOKUP(LEFT(A64,1),$S$1:$U$13,3,FALSE)&amp;"/"&amp;20&amp;RIGHT(A64,2)),-1,Feriados!$A$2:$A$2000),1,Feriados!$A$2:$A$2000))</f>
        <v/>
      </c>
      <c r="S64" s="34" t="str">
        <f>IF(OR(R64="",R64="Cadastrar ativo na aba Banco de Códigos B3"),"",NETWORKDAYS($B$1,R64-1,Feriados!$A$2:$A$2000))</f>
        <v/>
      </c>
      <c r="T64" s="35" t="str">
        <f t="shared" si="0"/>
        <v/>
      </c>
    </row>
    <row r="65" spans="1:20" x14ac:dyDescent="0.25">
      <c r="A65" s="38" t="s">
        <v>114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3" t="str">
        <f>IF(OR(A65="",LEN(A65)&lt;&gt;3),"",WORKDAY(WORKDAY(DATEVALUE("01/"&amp;VLOOKUP(LEFT(A65,1),$S$1:$U$13,3,FALSE)&amp;"/"&amp;20&amp;RIGHT(A65,2)),-1,Feriados!$A$2:$A$2000),1,Feriados!$A$2:$A$2000))</f>
        <v/>
      </c>
      <c r="S65" s="34" t="str">
        <f>IF(OR(R65="",R65="Cadastrar ativo na aba Banco de Códigos B3"),"",NETWORKDAYS($B$1,R65-1,Feriados!$A$2:$A$2000))</f>
        <v/>
      </c>
      <c r="T65" s="35" t="str">
        <f t="shared" si="0"/>
        <v/>
      </c>
    </row>
    <row r="66" spans="1:20" ht="15.6" x14ac:dyDescent="0.25">
      <c r="A66" s="4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3" t="str">
        <f>IF(OR(A66="",LEN(A66)&lt;&gt;3),"",WORKDAY(WORKDAY(DATEVALUE("01/"&amp;VLOOKUP(LEFT(A66,1),$S$1:$U$13,3,FALSE)&amp;"/"&amp;20&amp;RIGHT(A66,2)),-1,Feriados!$A$2:$A$2000),1,Feriados!$A$2:$A$2000))</f>
        <v/>
      </c>
      <c r="S66" s="34" t="str">
        <f>IF(OR(R66="",R66="Cadastrar ativo na aba Banco de Códigos B3"),"",NETWORKDAYS($B$1,R66-1,Feriados!$A$2:$A$2000))</f>
        <v/>
      </c>
      <c r="T66" s="35" t="str">
        <f t="shared" si="0"/>
        <v/>
      </c>
    </row>
    <row r="67" spans="1:20" x14ac:dyDescent="0.25">
      <c r="A67" s="38" t="s">
        <v>115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3" t="str">
        <f>IF(OR(A67="",LEN(A67)&lt;&gt;3),"",WORKDAY(WORKDAY(DATEVALUE("01/"&amp;VLOOKUP(LEFT(A67,1),$S$1:$U$13,3,FALSE)&amp;"/"&amp;20&amp;RIGHT(A67,2)),-1,Feriados!$A$2:$A$2000),1,Feriados!$A$2:$A$2000))</f>
        <v/>
      </c>
      <c r="S67" s="34" t="str">
        <f>IF(OR(R67="",R67="Cadastrar ativo na aba Banco de Códigos B3"),"",NETWORKDAYS($B$1,R67-1,Feriados!$A$2:$A$2000))</f>
        <v/>
      </c>
      <c r="T67" s="35" t="str">
        <f t="shared" si="0"/>
        <v/>
      </c>
    </row>
    <row r="68" spans="1:20" ht="15.6" x14ac:dyDescent="0.25">
      <c r="A68" s="4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3" t="str">
        <f>IF(OR(A68="",LEN(A68)&lt;&gt;3),"",WORKDAY(WORKDAY(DATEVALUE("01/"&amp;VLOOKUP(LEFT(A68,1),$S$1:$U$13,3,FALSE)&amp;"/"&amp;20&amp;RIGHT(A68,2)),-1,Feriados!$A$2:$A$2000),1,Feriados!$A$2:$A$2000))</f>
        <v/>
      </c>
      <c r="S68" s="34" t="str">
        <f>IF(OR(R68="",R68="Cadastrar ativo na aba Banco de Códigos B3"),"",NETWORKDAYS($B$1,R68-1,Feriados!$A$2:$A$2000))</f>
        <v/>
      </c>
      <c r="T68" s="35" t="str">
        <f t="shared" si="0"/>
        <v/>
      </c>
    </row>
    <row r="69" spans="1:20" ht="15.6" x14ac:dyDescent="0.25">
      <c r="A69" s="45" t="s">
        <v>116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3" t="str">
        <f>IF(OR(A69="",LEN(A69)&lt;&gt;3),"",WORKDAY(WORKDAY(DATEVALUE("01/"&amp;VLOOKUP(LEFT(A69,1),$S$1:$U$13,3,FALSE)&amp;"/"&amp;20&amp;RIGHT(A69,2)),-1,Feriados!$A$2:$A$2000),1,Feriados!$A$2:$A$2000))</f>
        <v/>
      </c>
      <c r="S69" s="34" t="str">
        <f>IF(OR(R69="",R69="Cadastrar ativo na aba Banco de Códigos B3"),"",NETWORKDAYS($B$1,R69-1,Feriados!$A$2:$A$2000))</f>
        <v/>
      </c>
      <c r="T69" s="35" t="str">
        <f t="shared" si="0"/>
        <v/>
      </c>
    </row>
    <row r="70" spans="1:20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3" t="str">
        <f>IF(OR(A70="",LEN(A70)&lt;&gt;3),"",WORKDAY(WORKDAY(DATEVALUE("01/"&amp;VLOOKUP(LEFT(A70,1),$S$1:$U$13,3,FALSE)&amp;"/"&amp;20&amp;RIGHT(A70,2)),-1,Feriados!$A$2:$A$2000),1,Feriados!$A$2:$A$2000))</f>
        <v/>
      </c>
      <c r="S70" s="34" t="str">
        <f>IF(OR(R70="",R70="Cadastrar ativo na aba Banco de Códigos B3"),"",NETWORKDAYS($B$1,R70-1,Feriados!$A$2:$A$2000))</f>
        <v/>
      </c>
      <c r="T70" s="35" t="str">
        <f t="shared" si="0"/>
        <v/>
      </c>
    </row>
    <row r="71" spans="1:20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3" t="str">
        <f>IF(OR(A71="",LEN(A71)&lt;&gt;3),"",WORKDAY(WORKDAY(DATEVALUE("01/"&amp;VLOOKUP(LEFT(A71,1),$S$1:$U$13,3,FALSE)&amp;"/"&amp;20&amp;RIGHT(A71,2)),-1,Feriados!$A$2:$A$2000),1,Feriados!$A$2:$A$2000))</f>
        <v/>
      </c>
      <c r="S71" s="34" t="str">
        <f>IF(OR(R71="",R71="Cadastrar ativo na aba Banco de Códigos B3"),"",NETWORKDAYS($B$1,R71-1,Feriados!$A$2:$A$2000))</f>
        <v/>
      </c>
      <c r="T71" s="35" t="str">
        <f t="shared" si="0"/>
        <v/>
      </c>
    </row>
    <row r="72" spans="1:20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3" t="str">
        <f>IF(OR(A72="",LEN(A72)&lt;&gt;3),"",WORKDAY(WORKDAY(DATEVALUE("01/"&amp;VLOOKUP(LEFT(A72,1),$S$1:$U$13,3,FALSE)&amp;"/"&amp;20&amp;RIGHT(A72,2)),-1,Feriados!$A$2:$A$2000),1,Feriados!$A$2:$A$2000))</f>
        <v/>
      </c>
      <c r="S72" s="34" t="str">
        <f>IF(OR(R72="",R72="Cadastrar ativo na aba Banco de Códigos B3"),"",NETWORKDAYS($B$1,R72-1,Feriados!$A$2:$A$2000))</f>
        <v/>
      </c>
      <c r="T72" s="35" t="str">
        <f t="shared" si="0"/>
        <v/>
      </c>
    </row>
    <row r="73" spans="1:20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3" t="str">
        <f>IF(OR(A73="",LEN(A73)&lt;&gt;3),"",WORKDAY(WORKDAY(DATEVALUE("01/"&amp;VLOOKUP(LEFT(A73,1),$S$1:$U$13,3,FALSE)&amp;"/"&amp;20&amp;RIGHT(A73,2)),-1,Feriados!$A$2:$A$2000),1,Feriados!$A$2:$A$2000))</f>
        <v/>
      </c>
      <c r="S73" s="34" t="str">
        <f>IF(OR(R73="",R73="Cadastrar ativo na aba Banco de Códigos B3"),"",NETWORKDAYS($B$1,R73-1,Feriados!$A$2:$A$2000))</f>
        <v/>
      </c>
      <c r="T73" s="35" t="str">
        <f t="shared" si="0"/>
        <v/>
      </c>
    </row>
    <row r="74" spans="1:20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3" t="str">
        <f>IF(OR(A74="",LEN(A74)&lt;&gt;3),"",WORKDAY(WORKDAY(DATEVALUE("01/"&amp;VLOOKUP(LEFT(A74,1),$S$1:$U$13,3,FALSE)&amp;"/"&amp;20&amp;RIGHT(A74,2)),-1,Feriados!$A$2:$A$2000),1,Feriados!$A$2:$A$2000))</f>
        <v/>
      </c>
      <c r="S74" s="34" t="str">
        <f>IF(OR(R74="",R74="Cadastrar ativo na aba Banco de Códigos B3"),"",NETWORKDAYS($B$1,R74-1,Feriados!$A$2:$A$2000))</f>
        <v/>
      </c>
      <c r="T74" s="35" t="str">
        <f t="shared" si="0"/>
        <v/>
      </c>
    </row>
    <row r="75" spans="1:20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3" t="str">
        <f>IF(OR(A75="",LEN(A75)&lt;&gt;3),"",WORKDAY(WORKDAY(DATEVALUE("01/"&amp;VLOOKUP(LEFT(A75,1),$S$1:$U$13,3,FALSE)&amp;"/"&amp;20&amp;RIGHT(A75,2)),-1,Feriados!$A$2:$A$2000),1,Feriados!$A$2:$A$2000))</f>
        <v/>
      </c>
      <c r="S75" s="34" t="str">
        <f>IF(OR(R75="",R75="Cadastrar ativo na aba Banco de Códigos B3"),"",NETWORKDAYS($B$1,R75-1,Feriados!$A$2:$A$2000))</f>
        <v/>
      </c>
      <c r="T75" s="35" t="str">
        <f t="shared" si="0"/>
        <v/>
      </c>
    </row>
    <row r="76" spans="1:20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3" t="str">
        <f>IF(OR(A76="",LEN(A76)&lt;&gt;3),"",WORKDAY(WORKDAY(DATEVALUE("01/"&amp;VLOOKUP(LEFT(A76,1),$S$1:$U$13,3,FALSE)&amp;"/"&amp;20&amp;RIGHT(A76,2)),-1,Feriados!$A$2:$A$2000),1,Feriados!$A$2:$A$2000))</f>
        <v/>
      </c>
      <c r="S76" s="34" t="str">
        <f>IF(OR(R76="",R76="Cadastrar ativo na aba Banco de Códigos B3"),"",NETWORKDAYS($B$1,R76-1,Feriados!$A$2:$A$2000))</f>
        <v/>
      </c>
      <c r="T76" s="35" t="str">
        <f t="shared" si="0"/>
        <v/>
      </c>
    </row>
    <row r="77" spans="1:20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3" t="str">
        <f>IF(OR(A77="",LEN(A77)&lt;&gt;3),"",WORKDAY(WORKDAY(DATEVALUE("01/"&amp;VLOOKUP(LEFT(A77,1),$S$1:$U$13,3,FALSE)&amp;"/"&amp;20&amp;RIGHT(A77,2)),-1,Feriados!$A$2:$A$2000),1,Feriados!$A$2:$A$2000))</f>
        <v/>
      </c>
      <c r="S77" s="34" t="str">
        <f>IF(OR(R77="",R77="Cadastrar ativo na aba Banco de Códigos B3"),"",NETWORKDAYS($B$1,R77-1,Feriados!$A$2:$A$2000))</f>
        <v/>
      </c>
      <c r="T77" s="35" t="str">
        <f t="shared" si="0"/>
        <v/>
      </c>
    </row>
    <row r="78" spans="1:20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3" t="str">
        <f>IF(OR(A78="",LEN(A78)&lt;&gt;3),"",WORKDAY(WORKDAY(DATEVALUE("01/"&amp;VLOOKUP(LEFT(A78,1),$S$1:$U$13,3,FALSE)&amp;"/"&amp;20&amp;RIGHT(A78,2)),-1,Feriados!$A$2:$A$2000),1,Feriados!$A$2:$A$2000))</f>
        <v/>
      </c>
      <c r="S78" s="34" t="str">
        <f>IF(OR(R78="",R78="Cadastrar ativo na aba Banco de Códigos B3"),"",NETWORKDAYS($B$1,R78-1,Feriados!$A$2:$A$2000))</f>
        <v/>
      </c>
      <c r="T78" s="35" t="str">
        <f t="shared" si="0"/>
        <v/>
      </c>
    </row>
    <row r="79" spans="1:20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3" t="str">
        <f>IF(OR(A79="",LEN(A79)&lt;&gt;3),"",WORKDAY(WORKDAY(DATEVALUE("01/"&amp;VLOOKUP(LEFT(A79,1),$S$1:$U$13,3,FALSE)&amp;"/"&amp;20&amp;RIGHT(A79,2)),-1,Feriados!$A$2:$A$2000),1,Feriados!$A$2:$A$2000))</f>
        <v/>
      </c>
      <c r="S79" s="34" t="str">
        <f>IF(OR(R79="",R79="Cadastrar ativo na aba Banco de Códigos B3"),"",NETWORKDAYS($B$1,R79-1,Feriados!$A$2:$A$2000))</f>
        <v/>
      </c>
      <c r="T79" s="35" t="str">
        <f t="shared" si="0"/>
        <v/>
      </c>
    </row>
    <row r="80" spans="1:20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3" t="str">
        <f>IF(OR(A80="",LEN(A80)&lt;&gt;3),"",WORKDAY(WORKDAY(DATEVALUE("01/"&amp;VLOOKUP(LEFT(A80,1),$S$1:$U$13,3,FALSE)&amp;"/"&amp;20&amp;RIGHT(A80,2)),-1,Feriados!$A$2:$A$2000),1,Feriados!$A$2:$A$2000))</f>
        <v/>
      </c>
      <c r="S80" s="34" t="str">
        <f>IF(OR(R80="",R80="Cadastrar ativo na aba Banco de Códigos B3"),"",NETWORKDAYS($B$1,R80-1,Feriados!$A$2:$A$2000))</f>
        <v/>
      </c>
      <c r="T80" s="35" t="str">
        <f t="shared" si="0"/>
        <v/>
      </c>
    </row>
    <row r="81" spans="1:20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3" t="str">
        <f>IF(OR(A81="",LEN(A81)&lt;&gt;3),"",WORKDAY(WORKDAY(DATEVALUE("01/"&amp;VLOOKUP(LEFT(A81,1),$S$1:$U$13,3,FALSE)&amp;"/"&amp;20&amp;RIGHT(A81,2)),-1,Feriados!$A$2:$A$2000),1,Feriados!$A$2:$A$2000))</f>
        <v/>
      </c>
      <c r="S81" s="34" t="str">
        <f>IF(OR(R81="",R81="Cadastrar ativo na aba Banco de Códigos B3"),"",NETWORKDAYS($B$1,R81-1,Feriados!$A$2:$A$2000))</f>
        <v/>
      </c>
      <c r="T81" s="35" t="str">
        <f t="shared" si="0"/>
        <v/>
      </c>
    </row>
    <row r="82" spans="1:20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3" t="str">
        <f>IF(OR(A82="",LEN(A82)&lt;&gt;3),"",WORKDAY(WORKDAY(DATEVALUE("01/"&amp;VLOOKUP(LEFT(A82,1),$S$1:$U$13,3,FALSE)&amp;"/"&amp;20&amp;RIGHT(A82,2)),-1,Feriados!$A$2:$A$2000),1,Feriados!$A$2:$A$2000))</f>
        <v/>
      </c>
      <c r="S82" s="34" t="str">
        <f>IF(OR(R82="",R82="Cadastrar ativo na aba Banco de Códigos B3"),"",NETWORKDAYS($B$1,R82-1,Feriados!$A$2:$A$2000))</f>
        <v/>
      </c>
      <c r="T82" s="35" t="str">
        <f t="shared" si="0"/>
        <v/>
      </c>
    </row>
    <row r="83" spans="1:20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3" t="str">
        <f>IF(OR(A83="",LEN(A83)&lt;&gt;3),"",WORKDAY(WORKDAY(DATEVALUE("01/"&amp;VLOOKUP(LEFT(A83,1),$S$1:$U$13,3,FALSE)&amp;"/"&amp;20&amp;RIGHT(A83,2)),-1,Feriados!$A$2:$A$2000),1,Feriados!$A$2:$A$2000))</f>
        <v/>
      </c>
      <c r="S83" s="34" t="str">
        <f>IF(OR(R83="",R83="Cadastrar ativo na aba Banco de Códigos B3"),"",NETWORKDAYS($B$1,R83-1,Feriados!$A$2:$A$2000))</f>
        <v/>
      </c>
      <c r="T83" s="35" t="str">
        <f t="shared" si="0"/>
        <v/>
      </c>
    </row>
    <row r="84" spans="1:20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3" t="str">
        <f>IF(OR(A84="",LEN(A84)&lt;&gt;3),"",WORKDAY(WORKDAY(DATEVALUE("01/"&amp;VLOOKUP(LEFT(A84,1),$S$1:$U$13,3,FALSE)&amp;"/"&amp;20&amp;RIGHT(A84,2)),-1,Feriados!$A$2:$A$2000),1,Feriados!$A$2:$A$2000))</f>
        <v/>
      </c>
      <c r="S84" s="34" t="str">
        <f>IF(OR(R84="",R84="Cadastrar ativo na aba Banco de Códigos B3"),"",NETWORKDAYS($B$1,R84-1,Feriados!$A$2:$A$2000))</f>
        <v/>
      </c>
      <c r="T84" s="35" t="str">
        <f t="shared" ref="T84:T96" si="1">IF(OR(R84="",R84="Cadastrar ativo na aba Banco de Códigos B3"),"",+ROUND(((100000/N84)^(252/S84)-1)*100,2))</f>
        <v/>
      </c>
    </row>
    <row r="85" spans="1:20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3" t="str">
        <f>IF(OR(A85="",LEN(A85)&lt;&gt;3),"",WORKDAY(WORKDAY(DATEVALUE("01/"&amp;VLOOKUP(LEFT(A85,1),$S$1:$U$13,3,FALSE)&amp;"/"&amp;20&amp;RIGHT(A85,2)),-1,Feriados!$A$2:$A$2000),1,Feriados!$A$2:$A$2000))</f>
        <v/>
      </c>
      <c r="S85" s="34" t="str">
        <f>IF(OR(R85="",R85="Cadastrar ativo na aba Banco de Códigos B3"),"",NETWORKDAYS($B$1,R85-1,Feriados!$A$2:$A$2000))</f>
        <v/>
      </c>
      <c r="T85" s="35" t="str">
        <f t="shared" si="1"/>
        <v/>
      </c>
    </row>
    <row r="86" spans="1:20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3" t="str">
        <f>IF(OR(A86="",LEN(A86)&lt;&gt;3),"",WORKDAY(WORKDAY(DATEVALUE("01/"&amp;VLOOKUP(LEFT(A86,1),$S$1:$U$13,3,FALSE)&amp;"/"&amp;20&amp;RIGHT(A86,2)),-1,Feriados!$A$2:$A$2000),1,Feriados!$A$2:$A$2000))</f>
        <v/>
      </c>
      <c r="S86" s="34" t="str">
        <f>IF(OR(R86="",R86="Cadastrar ativo na aba Banco de Códigos B3"),"",NETWORKDAYS($B$1,R86-1,Feriados!$A$2:$A$2000))</f>
        <v/>
      </c>
      <c r="T86" s="35" t="str">
        <f t="shared" si="1"/>
        <v/>
      </c>
    </row>
    <row r="87" spans="1:20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3" t="str">
        <f>IF(OR(A87="",LEN(A87)&lt;&gt;3),"",WORKDAY(WORKDAY(DATEVALUE("01/"&amp;VLOOKUP(LEFT(A87,1),$S$1:$U$13,3,FALSE)&amp;"/"&amp;20&amp;RIGHT(A87,2)),-1,Feriados!$A$2:$A$2000),1,Feriados!$A$2:$A$2000))</f>
        <v/>
      </c>
      <c r="S87" s="34" t="str">
        <f>IF(OR(R87="",R87="Cadastrar ativo na aba Banco de Códigos B3"),"",NETWORKDAYS($B$1,R87-1,Feriados!$A$2:$A$2000))</f>
        <v/>
      </c>
      <c r="T87" s="35" t="str">
        <f t="shared" si="1"/>
        <v/>
      </c>
    </row>
    <row r="88" spans="1:20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3" t="str">
        <f>IF(OR(A88="",LEN(A88)&lt;&gt;3),"",WORKDAY(WORKDAY(DATEVALUE("01/"&amp;VLOOKUP(LEFT(A88,1),$S$1:$U$13,3,FALSE)&amp;"/"&amp;20&amp;RIGHT(A88,2)),-1,Feriados!$A$2:$A$2000),1,Feriados!$A$2:$A$2000))</f>
        <v/>
      </c>
      <c r="S88" s="34" t="str">
        <f>IF(OR(R88="",R88="Cadastrar ativo na aba Banco de Códigos B3"),"",NETWORKDAYS($B$1,R88-1,Feriados!$A$2:$A$2000))</f>
        <v/>
      </c>
      <c r="T88" s="35" t="str">
        <f t="shared" si="1"/>
        <v/>
      </c>
    </row>
    <row r="89" spans="1:20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3" t="str">
        <f>IF(OR(A89="",LEN(A89)&lt;&gt;3),"",WORKDAY(WORKDAY(DATEVALUE("01/"&amp;VLOOKUP(LEFT(A89,1),$S$1:$U$13,3,FALSE)&amp;"/"&amp;20&amp;RIGHT(A89,2)),-1,Feriados!$A$2:$A$2000),1,Feriados!$A$2:$A$2000))</f>
        <v/>
      </c>
      <c r="S89" s="34" t="str">
        <f>IF(OR(R89="",R89="Cadastrar ativo na aba Banco de Códigos B3"),"",NETWORKDAYS($B$1,R89-1,Feriados!$A$2:$A$2000))</f>
        <v/>
      </c>
      <c r="T89" s="35" t="str">
        <f t="shared" si="1"/>
        <v/>
      </c>
    </row>
    <row r="90" spans="1:20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3" t="str">
        <f>IF(OR(A90="",LEN(A90)&lt;&gt;3),"",WORKDAY(WORKDAY(DATEVALUE("01/"&amp;VLOOKUP(LEFT(A90,1),$S$1:$U$13,3,FALSE)&amp;"/"&amp;20&amp;RIGHT(A90,2)),-1,Feriados!$A$2:$A$2000),1,Feriados!$A$2:$A$2000))</f>
        <v/>
      </c>
      <c r="S90" s="34" t="str">
        <f>IF(OR(R90="",R90="Cadastrar ativo na aba Banco de Códigos B3"),"",NETWORKDAYS($B$1,R90-1,Feriados!$A$2:$A$2000))</f>
        <v/>
      </c>
      <c r="T90" s="35" t="str">
        <f t="shared" si="1"/>
        <v/>
      </c>
    </row>
    <row r="91" spans="1:20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3" t="str">
        <f>IF(OR(A91="",LEN(A91)&lt;&gt;3),"",WORKDAY(WORKDAY(DATEVALUE("01/"&amp;VLOOKUP(LEFT(A91,1),$S$1:$U$13,3,FALSE)&amp;"/"&amp;20&amp;RIGHT(A91,2)),-1,Feriados!$A$2:$A$2000),1,Feriados!$A$2:$A$2000))</f>
        <v/>
      </c>
      <c r="S91" s="34" t="str">
        <f>IF(OR(R91="",R91="Cadastrar ativo na aba Banco de Códigos B3"),"",NETWORKDAYS($B$1,R91-1,Feriados!$A$2:$A$2000))</f>
        <v/>
      </c>
      <c r="T91" s="35" t="str">
        <f t="shared" si="1"/>
        <v/>
      </c>
    </row>
    <row r="92" spans="1:20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3" t="str">
        <f>IF(OR(A92="",LEN(A92)&lt;&gt;3),"",WORKDAY(WORKDAY(DATEVALUE("01/"&amp;VLOOKUP(LEFT(A92,1),$S$1:$U$13,3,FALSE)&amp;"/"&amp;20&amp;RIGHT(A92,2)),-1,Feriados!$A$2:$A$2000),1,Feriados!$A$2:$A$2000))</f>
        <v/>
      </c>
      <c r="S92" s="34" t="str">
        <f>IF(OR(R92="",R92="Cadastrar ativo na aba Banco de Códigos B3"),"",NETWORKDAYS($B$1,R92-1,Feriados!$A$2:$A$2000))</f>
        <v/>
      </c>
      <c r="T92" s="35" t="str">
        <f t="shared" si="1"/>
        <v/>
      </c>
    </row>
    <row r="93" spans="1:20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3" t="str">
        <f>IF(OR(A93="",LEN(A93)&lt;&gt;3),"",WORKDAY(WORKDAY(DATEVALUE("01/"&amp;VLOOKUP(LEFT(A93,1),$S$1:$U$13,3,FALSE)&amp;"/"&amp;20&amp;RIGHT(A93,2)),-1,Feriados!$A$2:$A$2000),1,Feriados!$A$2:$A$2000))</f>
        <v/>
      </c>
      <c r="S93" s="34" t="str">
        <f>IF(OR(R93="",R93="Cadastrar ativo na aba Banco de Códigos B3"),"",NETWORKDAYS($B$1,R93-1,Feriados!$A$2:$A$2000))</f>
        <v/>
      </c>
      <c r="T93" s="35" t="str">
        <f t="shared" si="1"/>
        <v/>
      </c>
    </row>
    <row r="94" spans="1:20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3" t="str">
        <f>IF(OR(A94="",LEN(A94)&lt;&gt;3),"",WORKDAY(WORKDAY(DATEVALUE("01/"&amp;VLOOKUP(LEFT(A94,1),$S$1:$U$13,3,FALSE)&amp;"/"&amp;20&amp;RIGHT(A94,2)),-1,Feriados!$A$2:$A$2000),1,Feriados!$A$2:$A$2000))</f>
        <v/>
      </c>
      <c r="S94" s="34" t="str">
        <f>IF(OR(R94="",R94="Cadastrar ativo na aba Banco de Códigos B3"),"",NETWORKDAYS($B$1,R94-1,Feriados!$A$2:$A$2000))</f>
        <v/>
      </c>
      <c r="T94" s="35" t="str">
        <f t="shared" si="1"/>
        <v/>
      </c>
    </row>
    <row r="95" spans="1:20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3" t="str">
        <f>IF(OR(A95="",LEN(A95)&lt;&gt;3),"",WORKDAY(WORKDAY(DATEVALUE("01/"&amp;VLOOKUP(LEFT(A95,1),$S$1:$U$13,3,FALSE)&amp;"/"&amp;20&amp;RIGHT(A95,2)),-1,Feriados!$A$2:$A$2000),1,Feriados!$A$2:$A$2000))</f>
        <v/>
      </c>
      <c r="S95" s="34" t="str">
        <f>IF(OR(R95="",R95="Cadastrar ativo na aba Banco de Códigos B3"),"",NETWORKDAYS($B$1,R95-1,Feriados!$A$2:$A$2000))</f>
        <v/>
      </c>
      <c r="T95" s="35" t="str">
        <f t="shared" si="1"/>
        <v/>
      </c>
    </row>
    <row r="96" spans="1:20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3" t="str">
        <f>IF(OR(A96="",LEN(A96)&lt;&gt;3),"",WORKDAY(WORKDAY(DATEVALUE("01/"&amp;VLOOKUP(LEFT(A96,1),$S$1:$U$13,3,FALSE)&amp;"/"&amp;20&amp;RIGHT(A96,2)),-1,Feriados!$A$2:$A$2000),1,Feriados!$A$2:$A$2000))</f>
        <v/>
      </c>
      <c r="S96" s="34" t="str">
        <f>IF(OR(R96="",R96="Cadastrar ativo na aba Banco de Códigos B3"),"",NETWORKDAYS($B$1,R96-1,Feriados!$A$2:$A$2000))</f>
        <v/>
      </c>
      <c r="T96" s="35" t="str">
        <f t="shared" si="1"/>
        <v/>
      </c>
    </row>
  </sheetData>
  <sheetProtection formatCells="0" formatColumns="0" formatRows="0"/>
  <mergeCells count="2">
    <mergeCell ref="G2:P2"/>
    <mergeCell ref="B5:K5"/>
  </mergeCells>
  <conditionalFormatting sqref="R19:R96">
    <cfRule type="cellIs" dxfId="2" priority="1" operator="equal">
      <formula>"Cadastrar ativo na aba Banco de Códigos B3"</formula>
    </cfRule>
  </conditionalFormatting>
  <hyperlinks>
    <hyperlink ref="B5" r:id="rId1" xr:uid="{6C0DF09A-A0FC-4023-94DF-B15722CBB399}"/>
    <hyperlink ref="G2" r:id="rId2" xr:uid="{898A2FA5-793D-4298-979F-A48F3FEC1A65}"/>
  </hyperlinks>
  <pageMargins left="0.511811024" right="0.511811024" top="0.78740157499999996" bottom="0.78740157499999996" header="0.31496062000000002" footer="0.31496062000000002"/>
  <pageSetup paperSize="9" orientation="portrait" r:id="rId3"/>
  <headerFooter>
    <oddHeader>&amp;R&amp;"Calibri"&amp;10&amp;K000000#interna&amp;1#</oddHeader>
  </headerFooter>
  <ignoredErrors>
    <ignoredError sqref="U2:U13" numberStoredAsText="1"/>
  </ignoredError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5DCF-9BE5-43C1-8711-73595C33A036}">
  <dimension ref="A1:T30"/>
  <sheetViews>
    <sheetView zoomScale="150" zoomScaleNormal="150" workbookViewId="0">
      <selection activeCell="I24" sqref="I24"/>
    </sheetView>
  </sheetViews>
  <sheetFormatPr defaultRowHeight="13.8" x14ac:dyDescent="0.3"/>
  <cols>
    <col min="1" max="1" width="10.44140625" style="53" customWidth="1"/>
    <col min="2" max="2" width="14.109375" style="53" bestFit="1" customWidth="1"/>
    <col min="3" max="3" width="13.77734375" style="53" customWidth="1"/>
    <col min="4" max="4" width="8.5546875" style="53" bestFit="1" customWidth="1"/>
    <col min="5" max="5" width="11.109375" style="53" customWidth="1"/>
    <col min="6" max="6" width="16.5546875" style="53" bestFit="1" customWidth="1"/>
    <col min="7" max="7" width="12.88671875" style="53" customWidth="1"/>
    <col min="8" max="8" width="11.5546875" style="53" customWidth="1"/>
    <col min="9" max="9" width="9" style="53" customWidth="1"/>
    <col min="10" max="12" width="7.77734375" style="53" bestFit="1" customWidth="1"/>
    <col min="13" max="13" width="11" style="53" bestFit="1" customWidth="1"/>
    <col min="14" max="14" width="12.5546875" style="53" bestFit="1" customWidth="1"/>
    <col min="15" max="15" width="9.109375" style="53" customWidth="1"/>
    <col min="16" max="16" width="9.88671875" style="53" customWidth="1"/>
    <col min="17" max="17" width="11.6640625" style="53" customWidth="1"/>
    <col min="18" max="18" width="12.5546875" style="53" bestFit="1" customWidth="1"/>
    <col min="19" max="19" width="8.5546875" style="53" customWidth="1"/>
    <col min="20" max="20" width="8.5546875" style="53" bestFit="1" customWidth="1"/>
    <col min="21" max="16384" width="8.88671875" style="53"/>
  </cols>
  <sheetData>
    <row r="1" spans="1:20" ht="18" x14ac:dyDescent="0.35">
      <c r="A1" s="54" t="s">
        <v>165</v>
      </c>
      <c r="B1" s="55">
        <v>44896</v>
      </c>
    </row>
    <row r="3" spans="1:20" ht="52.8" x14ac:dyDescent="0.3">
      <c r="A3" s="75" t="s">
        <v>62</v>
      </c>
      <c r="B3" s="49" t="s">
        <v>63</v>
      </c>
      <c r="C3" s="49" t="s">
        <v>64</v>
      </c>
      <c r="D3" s="49" t="s">
        <v>65</v>
      </c>
      <c r="E3" s="49" t="s">
        <v>66</v>
      </c>
      <c r="F3" s="49" t="s">
        <v>67</v>
      </c>
      <c r="G3" s="75" t="s">
        <v>68</v>
      </c>
      <c r="H3" s="75" t="s">
        <v>69</v>
      </c>
      <c r="I3" s="49" t="s">
        <v>70</v>
      </c>
      <c r="J3" s="49" t="s">
        <v>71</v>
      </c>
      <c r="K3" s="49" t="s">
        <v>72</v>
      </c>
      <c r="L3" s="49" t="s">
        <v>73</v>
      </c>
      <c r="M3" s="49" t="s">
        <v>74</v>
      </c>
      <c r="N3" s="75" t="s">
        <v>75</v>
      </c>
      <c r="O3" s="75" t="s">
        <v>76</v>
      </c>
      <c r="P3" s="49" t="s">
        <v>77</v>
      </c>
      <c r="Q3" s="49" t="s">
        <v>78</v>
      </c>
      <c r="R3" s="36" t="s">
        <v>14</v>
      </c>
      <c r="S3" s="36" t="s">
        <v>1</v>
      </c>
      <c r="T3" s="36" t="s">
        <v>79</v>
      </c>
    </row>
    <row r="4" spans="1:20" ht="15" x14ac:dyDescent="0.3">
      <c r="A4" s="59" t="s">
        <v>82</v>
      </c>
      <c r="B4" s="60">
        <v>6050665</v>
      </c>
      <c r="C4" s="60">
        <v>6170625</v>
      </c>
      <c r="D4" s="59">
        <v>874</v>
      </c>
      <c r="E4" s="60">
        <v>615893</v>
      </c>
      <c r="F4" s="60">
        <v>60904014668</v>
      </c>
      <c r="G4" s="61">
        <v>98886.77</v>
      </c>
      <c r="H4" s="61">
        <v>98886.77</v>
      </c>
      <c r="I4" s="59">
        <v>13.682</v>
      </c>
      <c r="J4" s="59">
        <v>13.672000000000001</v>
      </c>
      <c r="K4" s="59">
        <v>13.683999999999999</v>
      </c>
      <c r="L4" s="59">
        <v>13.673999999999999</v>
      </c>
      <c r="M4" s="59">
        <v>13.672000000000001</v>
      </c>
      <c r="N4" s="61">
        <v>98887.49</v>
      </c>
      <c r="O4" s="59" t="s">
        <v>80</v>
      </c>
      <c r="P4" s="59">
        <v>13.672000000000001</v>
      </c>
      <c r="Q4" s="59">
        <v>13.673999999999999</v>
      </c>
      <c r="R4" s="56">
        <v>44928</v>
      </c>
      <c r="S4" s="57">
        <f>NETWORKDAYS($B$1,R4-1,Feriados!$A$2:$A$2000)</f>
        <v>22</v>
      </c>
      <c r="T4" s="58">
        <f>ROUND(((100000/N4)^(252/S4)-1)*100,3)</f>
        <v>13.672000000000001</v>
      </c>
    </row>
    <row r="5" spans="1:20" ht="15" x14ac:dyDescent="0.3">
      <c r="A5" s="59" t="s">
        <v>88</v>
      </c>
      <c r="B5" s="60">
        <v>4455408</v>
      </c>
      <c r="C5" s="60">
        <v>4437234</v>
      </c>
      <c r="D5" s="60">
        <v>48587</v>
      </c>
      <c r="E5" s="60">
        <v>717935</v>
      </c>
      <c r="F5" s="60">
        <v>62357275540</v>
      </c>
      <c r="G5" s="61">
        <v>86925.87</v>
      </c>
      <c r="H5" s="61">
        <v>86925.87</v>
      </c>
      <c r="I5" s="59">
        <v>13.91</v>
      </c>
      <c r="J5" s="59">
        <v>13.91</v>
      </c>
      <c r="K5" s="59">
        <v>14.065</v>
      </c>
      <c r="L5" s="59">
        <v>14</v>
      </c>
      <c r="M5" s="59">
        <v>13.975</v>
      </c>
      <c r="N5" s="61">
        <v>86873.37</v>
      </c>
      <c r="O5" s="59" t="s">
        <v>138</v>
      </c>
      <c r="P5" s="59">
        <v>13.975</v>
      </c>
      <c r="Q5" s="59">
        <v>13.98</v>
      </c>
      <c r="R5" s="56">
        <v>45293</v>
      </c>
      <c r="S5" s="57">
        <v>271</v>
      </c>
      <c r="T5" s="58">
        <f t="shared" ref="T5:T6" si="0">ROUND(((100000/N5)^(252/S5)-1)*100,3)</f>
        <v>13.98</v>
      </c>
    </row>
    <row r="6" spans="1:20" ht="15" x14ac:dyDescent="0.3">
      <c r="A6" s="59" t="s">
        <v>92</v>
      </c>
      <c r="B6" s="60">
        <v>2761159</v>
      </c>
      <c r="C6" s="60">
        <v>2796502</v>
      </c>
      <c r="D6" s="60">
        <v>59484</v>
      </c>
      <c r="E6" s="60">
        <v>489940</v>
      </c>
      <c r="F6" s="60">
        <v>37879771544</v>
      </c>
      <c r="G6" s="61">
        <v>77479.91</v>
      </c>
      <c r="H6" s="61">
        <v>77479.91</v>
      </c>
      <c r="I6" s="59">
        <v>13.025</v>
      </c>
      <c r="J6" s="59">
        <v>13.025</v>
      </c>
      <c r="K6" s="59">
        <v>13.22</v>
      </c>
      <c r="L6" s="59">
        <v>13.144</v>
      </c>
      <c r="M6" s="59">
        <v>13.12</v>
      </c>
      <c r="N6" s="61">
        <v>77335.63</v>
      </c>
      <c r="O6" s="59" t="s">
        <v>142</v>
      </c>
      <c r="P6" s="59">
        <v>13.105</v>
      </c>
      <c r="Q6" s="59">
        <v>13.115</v>
      </c>
      <c r="R6" s="56">
        <v>45659</v>
      </c>
      <c r="S6" s="57">
        <v>525</v>
      </c>
      <c r="T6" s="58">
        <f t="shared" si="0"/>
        <v>13.13</v>
      </c>
    </row>
    <row r="8" spans="1:20" ht="15" x14ac:dyDescent="0.3">
      <c r="A8" s="59" t="s">
        <v>82</v>
      </c>
      <c r="B8" s="60">
        <v>6050665</v>
      </c>
      <c r="C8" s="60">
        <v>6170625</v>
      </c>
      <c r="D8" s="59">
        <v>874</v>
      </c>
      <c r="E8" s="60">
        <v>615893</v>
      </c>
      <c r="F8" s="60">
        <v>60904014668</v>
      </c>
      <c r="G8" s="79">
        <v>98836.58</v>
      </c>
      <c r="H8" s="79">
        <f>+G8*$H$12</f>
        <v>98886.769215324006</v>
      </c>
      <c r="I8" s="59">
        <v>13.682</v>
      </c>
      <c r="J8" s="59">
        <v>13.672000000000001</v>
      </c>
      <c r="K8" s="59">
        <v>13.683999999999999</v>
      </c>
      <c r="L8" s="59">
        <v>13.673999999999999</v>
      </c>
      <c r="M8" s="59">
        <v>13.672000000000001</v>
      </c>
      <c r="N8" s="79">
        <f>100000/(1+T8/100)^(S8/252)</f>
        <v>98887.491684729524</v>
      </c>
      <c r="O8" s="79">
        <f>+N8-H8</f>
        <v>0.72246940551849548</v>
      </c>
      <c r="P8" s="59">
        <v>13.672000000000001</v>
      </c>
      <c r="Q8" s="59">
        <v>13.673999999999999</v>
      </c>
      <c r="R8" s="56">
        <v>44928</v>
      </c>
      <c r="S8" s="57">
        <f>NETWORKDAYS($B$1,R8-1,Feriados!$A$2:$A$2000)</f>
        <v>22</v>
      </c>
      <c r="T8" s="81">
        <v>13.672000000000001</v>
      </c>
    </row>
    <row r="9" spans="1:20" ht="15" x14ac:dyDescent="0.3">
      <c r="A9" s="59" t="s">
        <v>88</v>
      </c>
      <c r="B9" s="60">
        <v>4455408</v>
      </c>
      <c r="C9" s="60">
        <v>4437234</v>
      </c>
      <c r="D9" s="60">
        <v>48587</v>
      </c>
      <c r="E9" s="60">
        <v>717935</v>
      </c>
      <c r="F9" s="60">
        <v>62357275540</v>
      </c>
      <c r="G9" s="79">
        <v>86881.75</v>
      </c>
      <c r="H9" s="79">
        <f t="shared" ref="H9:H10" si="1">+G9*$H$12</f>
        <v>86925.868552650005</v>
      </c>
      <c r="I9" s="59">
        <v>13.91</v>
      </c>
      <c r="J9" s="59">
        <v>13.91</v>
      </c>
      <c r="K9" s="59">
        <v>14.065</v>
      </c>
      <c r="L9" s="59">
        <v>14</v>
      </c>
      <c r="M9" s="59">
        <v>13.975</v>
      </c>
      <c r="N9" s="79">
        <f t="shared" ref="N9:N10" si="2">100000/(1+T9/100)^(S9/252)</f>
        <v>86873.365665130768</v>
      </c>
      <c r="O9" s="79">
        <f t="shared" ref="O9:O10" si="3">+N9-H9</f>
        <v>-52.502887519236538</v>
      </c>
      <c r="P9" s="59">
        <v>13.975</v>
      </c>
      <c r="Q9" s="59">
        <v>13.98</v>
      </c>
      <c r="R9" s="56">
        <v>45293</v>
      </c>
      <c r="S9" s="57">
        <v>271</v>
      </c>
      <c r="T9" s="81">
        <v>13.98</v>
      </c>
    </row>
    <row r="10" spans="1:20" ht="15" x14ac:dyDescent="0.3">
      <c r="A10" s="59" t="s">
        <v>92</v>
      </c>
      <c r="B10" s="60">
        <v>2761159</v>
      </c>
      <c r="C10" s="60">
        <v>2796502</v>
      </c>
      <c r="D10" s="60">
        <v>59484</v>
      </c>
      <c r="E10" s="60">
        <v>489940</v>
      </c>
      <c r="F10" s="60">
        <v>37879771544</v>
      </c>
      <c r="G10" s="79">
        <v>77440.59</v>
      </c>
      <c r="H10" s="79">
        <f t="shared" si="1"/>
        <v>77479.914331602005</v>
      </c>
      <c r="I10" s="59">
        <v>13.025</v>
      </c>
      <c r="J10" s="59">
        <v>13.025</v>
      </c>
      <c r="K10" s="59">
        <v>13.22</v>
      </c>
      <c r="L10" s="59">
        <v>13.144</v>
      </c>
      <c r="M10" s="59">
        <v>13.12</v>
      </c>
      <c r="N10" s="79">
        <f t="shared" si="2"/>
        <v>77335.62686212665</v>
      </c>
      <c r="O10" s="79">
        <f t="shared" si="3"/>
        <v>-144.28746947535546</v>
      </c>
      <c r="P10" s="59">
        <v>13.105</v>
      </c>
      <c r="Q10" s="59">
        <v>13.115</v>
      </c>
      <c r="R10" s="56">
        <v>45659</v>
      </c>
      <c r="S10" s="57">
        <v>525</v>
      </c>
      <c r="T10" s="81">
        <v>13.13</v>
      </c>
    </row>
    <row r="12" spans="1:20" ht="14.4" x14ac:dyDescent="0.3">
      <c r="G12" s="83" t="s">
        <v>182</v>
      </c>
      <c r="H12" s="82">
        <f>TRUNC((13.65/100+1)^(1/252),7)</f>
        <v>1.0005078000000001</v>
      </c>
      <c r="L12"/>
      <c r="M12"/>
      <c r="N12"/>
    </row>
    <row r="13" spans="1:20" ht="14.4" x14ac:dyDescent="0.3">
      <c r="L13"/>
      <c r="M13"/>
      <c r="N13"/>
    </row>
    <row r="14" spans="1:20" ht="14.4" x14ac:dyDescent="0.3">
      <c r="L14"/>
      <c r="M14"/>
      <c r="N14"/>
    </row>
    <row r="15" spans="1:20" ht="14.4" x14ac:dyDescent="0.3">
      <c r="B15" s="97"/>
      <c r="C15" s="97"/>
      <c r="D15" s="97"/>
      <c r="E15" s="97"/>
      <c r="F15" s="99"/>
      <c r="G15" s="99"/>
    </row>
    <row r="16" spans="1:20" ht="22.2" customHeight="1" x14ac:dyDescent="0.35">
      <c r="B16" s="97"/>
      <c r="C16" s="174" t="s">
        <v>183</v>
      </c>
      <c r="D16" s="174"/>
      <c r="E16" s="174"/>
      <c r="F16" s="172" t="s">
        <v>189</v>
      </c>
      <c r="G16" s="99"/>
    </row>
    <row r="17" spans="2:7" ht="22.2" customHeight="1" x14ac:dyDescent="0.35">
      <c r="B17" s="97"/>
      <c r="C17" s="174" t="s">
        <v>184</v>
      </c>
      <c r="D17" s="174"/>
      <c r="E17" s="174"/>
      <c r="F17" s="172"/>
      <c r="G17" s="99"/>
    </row>
    <row r="18" spans="2:7" ht="22.2" customHeight="1" x14ac:dyDescent="0.35">
      <c r="B18" s="97"/>
      <c r="C18" s="174" t="s">
        <v>194</v>
      </c>
      <c r="D18" s="174"/>
      <c r="E18" s="174"/>
      <c r="F18" s="172"/>
      <c r="G18" s="99"/>
    </row>
    <row r="19" spans="2:7" ht="22.2" customHeight="1" x14ac:dyDescent="0.35">
      <c r="B19" s="97"/>
      <c r="C19" s="174" t="s">
        <v>190</v>
      </c>
      <c r="D19" s="174"/>
      <c r="E19" s="174"/>
      <c r="F19" s="172"/>
      <c r="G19" s="99"/>
    </row>
    <row r="20" spans="2:7" ht="22.2" customHeight="1" x14ac:dyDescent="0.35">
      <c r="B20" s="97"/>
      <c r="C20" s="174" t="s">
        <v>191</v>
      </c>
      <c r="D20" s="174"/>
      <c r="E20" s="174"/>
      <c r="F20" s="172"/>
      <c r="G20" s="99"/>
    </row>
    <row r="21" spans="2:7" ht="22.2" x14ac:dyDescent="0.35">
      <c r="B21" s="97"/>
      <c r="C21" s="173" t="s">
        <v>195</v>
      </c>
      <c r="D21" s="173"/>
      <c r="E21" s="173"/>
      <c r="F21" s="172"/>
      <c r="G21" s="99"/>
    </row>
    <row r="22" spans="2:7" ht="13.8" customHeight="1" x14ac:dyDescent="1.65">
      <c r="B22" s="97"/>
      <c r="C22" s="95"/>
      <c r="D22" s="96"/>
      <c r="E22" s="97"/>
      <c r="F22" s="99"/>
      <c r="G22" s="99"/>
    </row>
    <row r="23" spans="2:7" ht="22.2" customHeight="1" x14ac:dyDescent="0.35">
      <c r="B23" s="97"/>
      <c r="C23" s="177" t="s">
        <v>186</v>
      </c>
      <c r="D23" s="177"/>
      <c r="E23" s="177"/>
      <c r="F23" s="176" t="s">
        <v>188</v>
      </c>
      <c r="G23" s="99"/>
    </row>
    <row r="24" spans="2:7" ht="22.2" customHeight="1" x14ac:dyDescent="0.35">
      <c r="B24" s="97"/>
      <c r="C24" s="177" t="s">
        <v>187</v>
      </c>
      <c r="D24" s="177"/>
      <c r="E24" s="177"/>
      <c r="F24" s="176"/>
      <c r="G24" s="99"/>
    </row>
    <row r="25" spans="2:7" ht="22.2" customHeight="1" x14ac:dyDescent="0.35">
      <c r="B25" s="97"/>
      <c r="C25" s="177" t="s">
        <v>185</v>
      </c>
      <c r="D25" s="177"/>
      <c r="E25" s="177"/>
      <c r="F25" s="176"/>
      <c r="G25" s="99"/>
    </row>
    <row r="26" spans="2:7" ht="22.2" customHeight="1" x14ac:dyDescent="0.35">
      <c r="B26" s="97"/>
      <c r="C26" s="177" t="s">
        <v>192</v>
      </c>
      <c r="D26" s="177"/>
      <c r="E26" s="177"/>
      <c r="F26" s="176"/>
      <c r="G26" s="99"/>
    </row>
    <row r="27" spans="2:7" ht="22.2" customHeight="1" x14ac:dyDescent="0.35">
      <c r="B27" s="97"/>
      <c r="C27" s="177" t="s">
        <v>193</v>
      </c>
      <c r="D27" s="177"/>
      <c r="E27" s="177"/>
      <c r="F27" s="176"/>
      <c r="G27" s="99"/>
    </row>
    <row r="28" spans="2:7" ht="22.2" x14ac:dyDescent="0.35">
      <c r="B28" s="97"/>
      <c r="C28" s="175" t="s">
        <v>196</v>
      </c>
      <c r="D28" s="175"/>
      <c r="E28" s="175"/>
      <c r="F28" s="176"/>
      <c r="G28" s="99"/>
    </row>
    <row r="29" spans="2:7" x14ac:dyDescent="0.3">
      <c r="B29" s="99"/>
      <c r="C29" s="99"/>
      <c r="D29" s="99"/>
      <c r="E29" s="99"/>
      <c r="F29" s="99"/>
      <c r="G29" s="99"/>
    </row>
    <row r="30" spans="2:7" x14ac:dyDescent="0.3">
      <c r="G30" s="99"/>
    </row>
  </sheetData>
  <mergeCells count="14">
    <mergeCell ref="C28:E28"/>
    <mergeCell ref="F23:F28"/>
    <mergeCell ref="C24:E24"/>
    <mergeCell ref="C25:E25"/>
    <mergeCell ref="C26:E26"/>
    <mergeCell ref="C27:E27"/>
    <mergeCell ref="C23:E23"/>
    <mergeCell ref="F16:F21"/>
    <mergeCell ref="C21:E21"/>
    <mergeCell ref="C16:E16"/>
    <mergeCell ref="C17:E17"/>
    <mergeCell ref="C18:E18"/>
    <mergeCell ref="C19:E19"/>
    <mergeCell ref="C20:E20"/>
  </mergeCells>
  <conditionalFormatting sqref="R4:R6">
    <cfRule type="cellIs" dxfId="1" priority="2" operator="equal">
      <formula>"Cadastrar ativo na aba Banco de Códigos B3"</formula>
    </cfRule>
  </conditionalFormatting>
  <conditionalFormatting sqref="R8:R10">
    <cfRule type="cellIs" dxfId="0" priority="1" operator="equal">
      <formula>"Cadastrar ativo na aba Banco de Códigos B3"</formula>
    </cfRule>
  </conditionalFormatting>
  <pageMargins left="0.511811024" right="0.511811024" top="0.78740157499999996" bottom="0.78740157499999996" header="0.31496062000000002" footer="0.31496062000000002"/>
  <ignoredErrors>
    <ignoredError sqref="N8:N10 H8:H10 O8:O1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0B23-922B-4B8C-B4A2-C44C87A2641C}">
  <dimension ref="A1:M31"/>
  <sheetViews>
    <sheetView workbookViewId="0">
      <selection activeCell="D3" sqref="D3"/>
    </sheetView>
  </sheetViews>
  <sheetFormatPr defaultRowHeight="15.6" x14ac:dyDescent="0.3"/>
  <cols>
    <col min="1" max="1" width="15.77734375" bestFit="1" customWidth="1"/>
    <col min="2" max="2" width="20.33203125" bestFit="1" customWidth="1"/>
    <col min="3" max="3" width="19.5546875" customWidth="1"/>
    <col min="4" max="4" width="22.5546875" bestFit="1" customWidth="1"/>
    <col min="5" max="5" width="22" customWidth="1"/>
    <col min="6" max="6" width="20.21875" customWidth="1"/>
    <col min="7" max="7" width="6.88671875" bestFit="1" customWidth="1"/>
    <col min="8" max="8" width="10.44140625" style="2" bestFit="1" customWidth="1"/>
    <col min="10" max="10" width="11.5546875" bestFit="1" customWidth="1"/>
    <col min="15" max="15" width="33.77734375" bestFit="1" customWidth="1"/>
  </cols>
  <sheetData>
    <row r="1" spans="1:13" ht="31.8" customHeight="1" x14ac:dyDescent="0.3">
      <c r="A1" s="91" t="s">
        <v>172</v>
      </c>
      <c r="B1" s="91" t="s">
        <v>173</v>
      </c>
      <c r="C1" s="91" t="s">
        <v>174</v>
      </c>
      <c r="D1" s="91" t="s">
        <v>178</v>
      </c>
      <c r="E1" s="91" t="s">
        <v>179</v>
      </c>
      <c r="F1" s="91" t="s">
        <v>175</v>
      </c>
      <c r="G1" s="77" t="s">
        <v>176</v>
      </c>
      <c r="H1" s="85" t="s">
        <v>177</v>
      </c>
      <c r="I1" s="76" t="s">
        <v>180</v>
      </c>
      <c r="J1" s="76" t="s">
        <v>181</v>
      </c>
      <c r="L1" s="85" t="s">
        <v>177</v>
      </c>
      <c r="M1" s="76" t="s">
        <v>180</v>
      </c>
    </row>
    <row r="2" spans="1:13" ht="15" x14ac:dyDescent="0.3">
      <c r="A2" s="90">
        <v>44866</v>
      </c>
      <c r="B2" s="90">
        <v>45293</v>
      </c>
      <c r="C2" s="84">
        <f>+ROUND((100000/(1+H2/100)^(G2/252)),2)</f>
        <v>86908.49</v>
      </c>
      <c r="D2" s="88"/>
      <c r="E2" s="88"/>
      <c r="F2" s="89"/>
      <c r="G2" s="78">
        <f>NETWORKDAYS(A2,B2-1,Feriados!$A$2:$A$2000)</f>
        <v>291</v>
      </c>
      <c r="H2" s="86">
        <v>12.92</v>
      </c>
      <c r="I2" s="87">
        <v>13.65</v>
      </c>
      <c r="J2" s="80">
        <f>TRUNC(+(1+I2/100)^(1/252),7)</f>
        <v>1.0005078000000001</v>
      </c>
      <c r="L2" s="86">
        <v>12.92</v>
      </c>
      <c r="M2" s="87">
        <v>13.65</v>
      </c>
    </row>
    <row r="3" spans="1:13" ht="15" x14ac:dyDescent="0.3">
      <c r="A3" s="90">
        <v>44868</v>
      </c>
      <c r="B3" s="90">
        <v>45293</v>
      </c>
      <c r="C3" s="84">
        <f t="shared" ref="C3:C20" si="0">+ROUND((100000/(1+H3/100)^(G3/252)),2)</f>
        <v>86901.7</v>
      </c>
      <c r="D3" s="84">
        <f>+C2</f>
        <v>86908.49</v>
      </c>
      <c r="E3" s="84">
        <f>D3*J3</f>
        <v>86952.622131222015</v>
      </c>
      <c r="F3" s="93">
        <f t="shared" ref="F3:F8" si="1">ROUND(+C3-E3,2)</f>
        <v>-50.92</v>
      </c>
      <c r="G3" s="78">
        <f>NETWORKDAYS(A3,B3-1,Feriados!$A$2:$A$2000)</f>
        <v>290</v>
      </c>
      <c r="H3" s="86">
        <v>12.975</v>
      </c>
      <c r="I3" s="87">
        <v>13.65</v>
      </c>
      <c r="J3" s="80">
        <f>TRUNC(+(1+I3/100)^(1/252),7)</f>
        <v>1.0005078000000001</v>
      </c>
      <c r="L3" s="86">
        <v>12.975</v>
      </c>
      <c r="M3" s="87">
        <v>13.65</v>
      </c>
    </row>
    <row r="4" spans="1:13" ht="15" x14ac:dyDescent="0.3">
      <c r="A4" s="90">
        <v>44869</v>
      </c>
      <c r="B4" s="90">
        <v>45293</v>
      </c>
      <c r="C4" s="84">
        <f t="shared" si="0"/>
        <v>86974.68</v>
      </c>
      <c r="D4" s="84">
        <f t="shared" ref="D4:D20" si="2">+C3</f>
        <v>86901.7</v>
      </c>
      <c r="E4" s="84">
        <f t="shared" ref="E4:E20" si="3">ROUND(D4*J4,2)</f>
        <v>86945.83</v>
      </c>
      <c r="F4" s="93">
        <f t="shared" si="1"/>
        <v>28.85</v>
      </c>
      <c r="G4" s="78">
        <f>NETWORKDAYS(A4,B4-1,Feriados!$A$2:$A$2000)</f>
        <v>289</v>
      </c>
      <c r="H4" s="86">
        <v>12.94</v>
      </c>
      <c r="I4" s="87">
        <v>13.65</v>
      </c>
      <c r="J4" s="80">
        <f t="shared" ref="J4:J20" si="4">TRUNC(+(1+I4/100)^(1/252),7)</f>
        <v>1.0005078000000001</v>
      </c>
      <c r="L4" s="86">
        <v>12.94</v>
      </c>
      <c r="M4" s="87">
        <v>13.65</v>
      </c>
    </row>
    <row r="5" spans="1:13" ht="15" x14ac:dyDescent="0.3">
      <c r="A5" s="90">
        <v>44872</v>
      </c>
      <c r="B5" s="90">
        <v>45293</v>
      </c>
      <c r="C5" s="84">
        <f t="shared" si="0"/>
        <v>86933.11</v>
      </c>
      <c r="D5" s="84">
        <f t="shared" si="2"/>
        <v>86974.68</v>
      </c>
      <c r="E5" s="84">
        <f t="shared" si="3"/>
        <v>87018.85</v>
      </c>
      <c r="F5" s="93">
        <f t="shared" si="1"/>
        <v>-85.74</v>
      </c>
      <c r="G5" s="78">
        <f>NETWORKDAYS(A5,B5-1,Feriados!$A$2:$A$2000)</f>
        <v>288</v>
      </c>
      <c r="H5" s="86">
        <v>13.035</v>
      </c>
      <c r="I5" s="87">
        <v>13.65</v>
      </c>
      <c r="J5" s="80">
        <f t="shared" si="4"/>
        <v>1.0005078000000001</v>
      </c>
      <c r="L5" s="86">
        <v>13.035</v>
      </c>
      <c r="M5" s="87">
        <v>13.65</v>
      </c>
    </row>
    <row r="6" spans="1:13" ht="15" x14ac:dyDescent="0.3">
      <c r="A6" s="90">
        <v>44873</v>
      </c>
      <c r="B6" s="90">
        <v>45293</v>
      </c>
      <c r="C6" s="84">
        <f t="shared" si="0"/>
        <v>86957.86</v>
      </c>
      <c r="D6" s="84">
        <f t="shared" si="2"/>
        <v>86933.11</v>
      </c>
      <c r="E6" s="84">
        <f t="shared" si="3"/>
        <v>86977.25</v>
      </c>
      <c r="F6" s="93">
        <f t="shared" si="1"/>
        <v>-19.39</v>
      </c>
      <c r="G6" s="78">
        <f>NETWORKDAYS(A6,B6-1,Feriados!$A$2:$A$2000)</f>
        <v>287</v>
      </c>
      <c r="H6" s="86">
        <v>13.055</v>
      </c>
      <c r="I6" s="87">
        <v>13.65</v>
      </c>
      <c r="J6" s="80">
        <f t="shared" si="4"/>
        <v>1.0005078000000001</v>
      </c>
      <c r="L6" s="86">
        <v>13.055</v>
      </c>
      <c r="M6" s="87">
        <v>13.65</v>
      </c>
    </row>
    <row r="7" spans="1:13" ht="15" x14ac:dyDescent="0.3">
      <c r="A7" s="90">
        <v>44874</v>
      </c>
      <c r="B7" s="90">
        <v>45293</v>
      </c>
      <c r="C7" s="84">
        <f t="shared" si="0"/>
        <v>87004.58</v>
      </c>
      <c r="D7" s="84">
        <f t="shared" si="2"/>
        <v>86957.86</v>
      </c>
      <c r="E7" s="84">
        <f t="shared" si="3"/>
        <v>87002.02</v>
      </c>
      <c r="F7" s="93">
        <f t="shared" si="1"/>
        <v>2.56</v>
      </c>
      <c r="G7" s="78">
        <f>NETWORKDAYS(A7,B7-1,Feriados!$A$2:$A$2000)</f>
        <v>286</v>
      </c>
      <c r="H7" s="86">
        <v>13.05</v>
      </c>
      <c r="I7" s="87">
        <v>13.65</v>
      </c>
      <c r="J7" s="80">
        <f t="shared" si="4"/>
        <v>1.0005078000000001</v>
      </c>
      <c r="L7" s="86">
        <v>13.05</v>
      </c>
      <c r="M7" s="87">
        <v>13.65</v>
      </c>
    </row>
    <row r="8" spans="1:13" ht="15" x14ac:dyDescent="0.3">
      <c r="A8" s="90">
        <v>44875</v>
      </c>
      <c r="B8" s="90">
        <v>45293</v>
      </c>
      <c r="C8" s="84">
        <f t="shared" si="0"/>
        <v>86544.62</v>
      </c>
      <c r="D8" s="84">
        <f t="shared" si="2"/>
        <v>87004.58</v>
      </c>
      <c r="E8" s="84">
        <f t="shared" si="3"/>
        <v>87048.76</v>
      </c>
      <c r="F8" s="93">
        <f t="shared" si="1"/>
        <v>-504.14</v>
      </c>
      <c r="G8" s="78">
        <f>NETWORKDAYS(A8,B8-1,Feriados!$A$2:$A$2000)</f>
        <v>285</v>
      </c>
      <c r="H8" s="86">
        <v>13.63</v>
      </c>
      <c r="I8" s="87">
        <v>13.65</v>
      </c>
      <c r="J8" s="80">
        <f t="shared" si="4"/>
        <v>1.0005078000000001</v>
      </c>
      <c r="L8" s="86">
        <v>13.63</v>
      </c>
      <c r="M8" s="87">
        <v>13.65</v>
      </c>
    </row>
    <row r="9" spans="1:13" ht="15" x14ac:dyDescent="0.3">
      <c r="A9" s="90">
        <v>44876</v>
      </c>
      <c r="B9" s="90">
        <v>45293</v>
      </c>
      <c r="C9" s="84">
        <f t="shared" si="0"/>
        <v>86340.14</v>
      </c>
      <c r="D9" s="84">
        <f t="shared" si="2"/>
        <v>86544.62</v>
      </c>
      <c r="E9" s="84">
        <f t="shared" si="3"/>
        <v>86588.57</v>
      </c>
      <c r="F9" s="93">
        <f t="shared" ref="F9:F20" si="5">ROUND(+C9-E9,2)</f>
        <v>-248.43</v>
      </c>
      <c r="G9" s="78">
        <f>NETWORKDAYS(A9,B9-1,Feriados!$A$2:$A$2000)</f>
        <v>284</v>
      </c>
      <c r="H9" s="86">
        <v>13.92</v>
      </c>
      <c r="I9" s="87">
        <v>13.65</v>
      </c>
      <c r="J9" s="80">
        <f t="shared" si="4"/>
        <v>1.0005078000000001</v>
      </c>
      <c r="L9" s="86">
        <v>13.92</v>
      </c>
      <c r="M9" s="87">
        <v>13.65</v>
      </c>
    </row>
    <row r="10" spans="1:13" ht="15" x14ac:dyDescent="0.3">
      <c r="A10" s="90">
        <v>44879</v>
      </c>
      <c r="B10" s="90">
        <v>45293</v>
      </c>
      <c r="C10" s="84">
        <f t="shared" si="0"/>
        <v>86529.8</v>
      </c>
      <c r="D10" s="84">
        <f t="shared" si="2"/>
        <v>86340.14</v>
      </c>
      <c r="E10" s="84">
        <f t="shared" si="3"/>
        <v>86383.98</v>
      </c>
      <c r="F10" s="93">
        <f t="shared" si="5"/>
        <v>145.82</v>
      </c>
      <c r="G10" s="78">
        <f>NETWORKDAYS(A10,B10-1,Feriados!$A$2:$A$2000)</f>
        <v>283</v>
      </c>
      <c r="H10" s="86">
        <v>13.75</v>
      </c>
      <c r="I10" s="87">
        <v>13.65</v>
      </c>
      <c r="J10" s="80">
        <f t="shared" si="4"/>
        <v>1.0005078000000001</v>
      </c>
      <c r="L10" s="86">
        <v>13.75</v>
      </c>
      <c r="M10" s="87">
        <v>13.65</v>
      </c>
    </row>
    <row r="11" spans="1:13" ht="15" x14ac:dyDescent="0.3">
      <c r="A11" s="90">
        <v>44881</v>
      </c>
      <c r="B11" s="90">
        <v>45293</v>
      </c>
      <c r="C11" s="84">
        <f t="shared" si="0"/>
        <v>86293.85</v>
      </c>
      <c r="D11" s="84">
        <f t="shared" si="2"/>
        <v>86529.8</v>
      </c>
      <c r="E11" s="84">
        <f t="shared" si="3"/>
        <v>86573.74</v>
      </c>
      <c r="F11" s="93">
        <f t="shared" si="5"/>
        <v>-279.89</v>
      </c>
      <c r="G11" s="78">
        <f>NETWORKDAYS(A11,B11-1,Feriados!$A$2:$A$2000)</f>
        <v>282</v>
      </c>
      <c r="H11" s="86">
        <v>14.08</v>
      </c>
      <c r="I11" s="87">
        <v>13.65</v>
      </c>
      <c r="J11" s="80">
        <f t="shared" si="4"/>
        <v>1.0005078000000001</v>
      </c>
      <c r="L11" s="86">
        <v>14.08</v>
      </c>
      <c r="M11" s="87">
        <v>13.65</v>
      </c>
    </row>
    <row r="12" spans="1:13" ht="15" x14ac:dyDescent="0.3">
      <c r="A12" s="90">
        <v>44882</v>
      </c>
      <c r="B12" s="90">
        <v>45293</v>
      </c>
      <c r="C12" s="84">
        <f t="shared" si="0"/>
        <v>86279.93</v>
      </c>
      <c r="D12" s="84">
        <f t="shared" si="2"/>
        <v>86293.85</v>
      </c>
      <c r="E12" s="84">
        <f t="shared" si="3"/>
        <v>86337.67</v>
      </c>
      <c r="F12" s="93">
        <f t="shared" si="5"/>
        <v>-57.74</v>
      </c>
      <c r="G12" s="78">
        <f>NETWORKDAYS(A12,B12-1,Feriados!$A$2:$A$2000)</f>
        <v>281</v>
      </c>
      <c r="H12" s="86">
        <v>14.15</v>
      </c>
      <c r="I12" s="87">
        <v>13.65</v>
      </c>
      <c r="J12" s="80">
        <f t="shared" si="4"/>
        <v>1.0005078000000001</v>
      </c>
      <c r="L12" s="86">
        <v>14.15</v>
      </c>
      <c r="M12" s="87">
        <v>13.65</v>
      </c>
    </row>
    <row r="13" spans="1:13" ht="15" x14ac:dyDescent="0.3">
      <c r="A13" s="90">
        <v>44883</v>
      </c>
      <c r="B13" s="90">
        <v>45293</v>
      </c>
      <c r="C13" s="84">
        <f t="shared" si="0"/>
        <v>86170.07</v>
      </c>
      <c r="D13" s="84">
        <f t="shared" si="2"/>
        <v>86279.93</v>
      </c>
      <c r="E13" s="84">
        <f t="shared" si="3"/>
        <v>86323.74</v>
      </c>
      <c r="F13" s="93">
        <f t="shared" si="5"/>
        <v>-153.66999999999999</v>
      </c>
      <c r="G13" s="78">
        <f>NETWORKDAYS(A13,B13-1,Feriados!$A$2:$A$2000)</f>
        <v>280</v>
      </c>
      <c r="H13" s="86">
        <v>14.335000000000001</v>
      </c>
      <c r="I13" s="87">
        <v>13.65</v>
      </c>
      <c r="J13" s="80">
        <f t="shared" si="4"/>
        <v>1.0005078000000001</v>
      </c>
      <c r="L13" s="86">
        <v>14.335000000000001</v>
      </c>
      <c r="M13" s="87">
        <v>13.65</v>
      </c>
    </row>
    <row r="14" spans="1:13" ht="15" x14ac:dyDescent="0.3">
      <c r="A14" s="90">
        <v>44886</v>
      </c>
      <c r="B14" s="90">
        <v>45293</v>
      </c>
      <c r="C14" s="84">
        <f t="shared" si="0"/>
        <v>86278.55</v>
      </c>
      <c r="D14" s="84">
        <f t="shared" si="2"/>
        <v>86170.07</v>
      </c>
      <c r="E14" s="84">
        <f t="shared" si="3"/>
        <v>86213.83</v>
      </c>
      <c r="F14" s="93">
        <f t="shared" si="5"/>
        <v>64.72</v>
      </c>
      <c r="G14" s="78">
        <f>NETWORKDAYS(A14,B14-1,Feriados!$A$2:$A$2000)</f>
        <v>279</v>
      </c>
      <c r="H14" s="86">
        <v>14.26</v>
      </c>
      <c r="I14" s="87">
        <v>13.65</v>
      </c>
      <c r="J14" s="80">
        <f t="shared" si="4"/>
        <v>1.0005078000000001</v>
      </c>
      <c r="L14" s="86">
        <v>14.26</v>
      </c>
      <c r="M14" s="87">
        <v>13.65</v>
      </c>
    </row>
    <row r="15" spans="1:13" ht="15" x14ac:dyDescent="0.3">
      <c r="A15" s="90">
        <v>44887</v>
      </c>
      <c r="B15" s="90">
        <v>45293</v>
      </c>
      <c r="C15" s="84">
        <f t="shared" si="0"/>
        <v>86224.3</v>
      </c>
      <c r="D15" s="84">
        <f t="shared" si="2"/>
        <v>86278.55</v>
      </c>
      <c r="E15" s="84">
        <f t="shared" si="3"/>
        <v>86322.36</v>
      </c>
      <c r="F15" s="93">
        <f t="shared" si="5"/>
        <v>-98.06</v>
      </c>
      <c r="G15" s="78">
        <f>NETWORKDAYS(A15,B15-1,Feriados!$A$2:$A$2000)</f>
        <v>278</v>
      </c>
      <c r="H15" s="86">
        <v>14.38</v>
      </c>
      <c r="I15" s="87">
        <v>13.65</v>
      </c>
      <c r="J15" s="80">
        <f t="shared" si="4"/>
        <v>1.0005078000000001</v>
      </c>
      <c r="L15" s="86">
        <v>14.38</v>
      </c>
      <c r="M15" s="87">
        <v>13.65</v>
      </c>
    </row>
    <row r="16" spans="1:13" ht="15" x14ac:dyDescent="0.3">
      <c r="A16" s="90">
        <v>44888</v>
      </c>
      <c r="B16" s="90">
        <v>45293</v>
      </c>
      <c r="C16" s="84">
        <f t="shared" si="0"/>
        <v>86100.64</v>
      </c>
      <c r="D16" s="84">
        <f t="shared" si="2"/>
        <v>86224.3</v>
      </c>
      <c r="E16" s="84">
        <f t="shared" si="3"/>
        <v>86268.08</v>
      </c>
      <c r="F16" s="93">
        <f t="shared" si="5"/>
        <v>-167.44</v>
      </c>
      <c r="G16" s="78">
        <f>NETWORKDAYS(A16,B16-1,Feriados!$A$2:$A$2000)</f>
        <v>277</v>
      </c>
      <c r="H16" s="86">
        <v>14.585000000000001</v>
      </c>
      <c r="I16" s="87">
        <v>13.65</v>
      </c>
      <c r="J16" s="80">
        <f t="shared" si="4"/>
        <v>1.0005078000000001</v>
      </c>
      <c r="L16" s="86">
        <v>14.585000000000001</v>
      </c>
      <c r="M16" s="87">
        <v>13.65</v>
      </c>
    </row>
    <row r="17" spans="1:13" ht="15" x14ac:dyDescent="0.3">
      <c r="A17" s="90">
        <v>44889</v>
      </c>
      <c r="B17" s="90">
        <v>45293</v>
      </c>
      <c r="C17" s="84">
        <f t="shared" si="0"/>
        <v>86374.18</v>
      </c>
      <c r="D17" s="84">
        <f t="shared" si="2"/>
        <v>86100.64</v>
      </c>
      <c r="E17" s="84">
        <f t="shared" si="3"/>
        <v>86144.36</v>
      </c>
      <c r="F17" s="93">
        <f t="shared" si="5"/>
        <v>229.82</v>
      </c>
      <c r="G17" s="78">
        <f>NETWORKDAYS(A17,B17-1,Feriados!$A$2:$A$2000)</f>
        <v>276</v>
      </c>
      <c r="H17" s="86">
        <v>14.31</v>
      </c>
      <c r="I17" s="87">
        <v>13.65</v>
      </c>
      <c r="J17" s="80">
        <f t="shared" si="4"/>
        <v>1.0005078000000001</v>
      </c>
      <c r="L17" s="86">
        <v>14.31</v>
      </c>
      <c r="M17" s="87">
        <v>13.65</v>
      </c>
    </row>
    <row r="18" spans="1:13" ht="15" x14ac:dyDescent="0.3">
      <c r="A18" s="90">
        <v>44890</v>
      </c>
      <c r="B18" s="90">
        <v>45293</v>
      </c>
      <c r="C18" s="84">
        <f t="shared" si="0"/>
        <v>86280</v>
      </c>
      <c r="D18" s="84">
        <f t="shared" si="2"/>
        <v>86374.18</v>
      </c>
      <c r="E18" s="84">
        <f t="shared" si="3"/>
        <v>86418.04</v>
      </c>
      <c r="F18" s="93">
        <f t="shared" si="5"/>
        <v>-138.04</v>
      </c>
      <c r="G18" s="78">
        <f>NETWORKDAYS(A18,B18-1,Feriados!$A$2:$A$2000)</f>
        <v>275</v>
      </c>
      <c r="H18" s="86">
        <v>14.48</v>
      </c>
      <c r="I18" s="87">
        <v>13.65</v>
      </c>
      <c r="J18" s="80">
        <f t="shared" si="4"/>
        <v>1.0005078000000001</v>
      </c>
      <c r="L18" s="86">
        <v>14.48</v>
      </c>
      <c r="M18" s="87">
        <v>13.65</v>
      </c>
    </row>
    <row r="19" spans="1:13" ht="15" x14ac:dyDescent="0.3">
      <c r="A19" s="90">
        <v>44893</v>
      </c>
      <c r="B19" s="90">
        <v>45293</v>
      </c>
      <c r="C19" s="84">
        <f t="shared" si="0"/>
        <v>86482.36</v>
      </c>
      <c r="D19" s="84">
        <f t="shared" si="2"/>
        <v>86280</v>
      </c>
      <c r="E19" s="84">
        <f t="shared" si="3"/>
        <v>86323.81</v>
      </c>
      <c r="F19" s="93">
        <f t="shared" si="5"/>
        <v>158.55000000000001</v>
      </c>
      <c r="G19" s="78">
        <f>NETWORKDAYS(A19,B19-1,Feriados!$A$2:$A$2000)</f>
        <v>274</v>
      </c>
      <c r="H19" s="86">
        <v>14.29</v>
      </c>
      <c r="I19" s="87">
        <v>13.65</v>
      </c>
      <c r="J19" s="80">
        <f t="shared" si="4"/>
        <v>1.0005078000000001</v>
      </c>
      <c r="L19" s="86">
        <v>14.29</v>
      </c>
      <c r="M19" s="87">
        <v>13.65</v>
      </c>
    </row>
    <row r="20" spans="1:13" ht="15" x14ac:dyDescent="0.3">
      <c r="A20" s="90">
        <v>44894</v>
      </c>
      <c r="B20" s="90">
        <v>45293</v>
      </c>
      <c r="C20" s="84">
        <f t="shared" si="0"/>
        <v>86795.57</v>
      </c>
      <c r="D20" s="84">
        <f t="shared" si="2"/>
        <v>86482.36</v>
      </c>
      <c r="E20" s="84">
        <f t="shared" si="3"/>
        <v>86526.28</v>
      </c>
      <c r="F20" s="93">
        <f t="shared" si="5"/>
        <v>269.29000000000002</v>
      </c>
      <c r="G20" s="78">
        <f>NETWORKDAYS(A20,B20-1,Feriados!$A$2:$A$2000)</f>
        <v>273</v>
      </c>
      <c r="H20" s="86">
        <v>13.965</v>
      </c>
      <c r="I20" s="87">
        <v>13.65</v>
      </c>
      <c r="J20" s="80">
        <f t="shared" si="4"/>
        <v>1.0005078000000001</v>
      </c>
      <c r="L20" s="86">
        <v>13.965</v>
      </c>
      <c r="M20" s="87">
        <v>13.65</v>
      </c>
    </row>
    <row r="22" spans="1:13" ht="23.4" x14ac:dyDescent="0.3">
      <c r="C22" s="103"/>
      <c r="F22" s="98">
        <f>SUM(F3:F21)</f>
        <v>-903.85000000000014</v>
      </c>
      <c r="H22" s="94">
        <f>+H20-H2</f>
        <v>1.0449999999999999</v>
      </c>
      <c r="I22" s="94">
        <f>+I20-I2</f>
        <v>0</v>
      </c>
    </row>
    <row r="23" spans="1:13" x14ac:dyDescent="0.3">
      <c r="C23" s="103"/>
    </row>
    <row r="24" spans="1:13" ht="23.4" x14ac:dyDescent="0.3">
      <c r="C24" s="102"/>
      <c r="I24" s="92">
        <f>AVERAGE(I2:I20)</f>
        <v>13.650000000000004</v>
      </c>
    </row>
    <row r="31" spans="1:13" ht="17.399999999999999" customHeight="1" x14ac:dyDescent="0.3"/>
  </sheetData>
  <sortState xmlns:xlrd2="http://schemas.microsoft.com/office/spreadsheetml/2017/richdata2" ref="L23:L41">
    <sortCondition descending="1" ref="L23:L41"/>
  </sortState>
  <pageMargins left="0.511811024" right="0.511811024" top="0.78740157499999996" bottom="0.78740157499999996" header="0.31496062000000002" footer="0.31496062000000002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F292-0938-4FA9-A783-5DD9691ECD82}">
  <dimension ref="A1:N289"/>
  <sheetViews>
    <sheetView workbookViewId="0">
      <selection activeCell="A2" sqref="A2:B3"/>
    </sheetView>
  </sheetViews>
  <sheetFormatPr defaultRowHeight="21" x14ac:dyDescent="0.4"/>
  <cols>
    <col min="1" max="1" width="5.88671875" style="4" bestFit="1" customWidth="1"/>
    <col min="2" max="2" width="16.44140625" style="4" bestFit="1" customWidth="1"/>
    <col min="3" max="3" width="12.6640625" style="4" bestFit="1" customWidth="1"/>
    <col min="4" max="4" width="13.33203125" style="4" bestFit="1" customWidth="1"/>
    <col min="5" max="5" width="8.21875" style="4" bestFit="1" customWidth="1"/>
    <col min="6" max="6" width="18.5546875" style="4" bestFit="1" customWidth="1"/>
    <col min="7" max="8" width="8.88671875" style="4"/>
    <col min="9" max="9" width="16.44140625" style="4" bestFit="1" customWidth="1"/>
    <col min="10" max="10" width="16" style="4" bestFit="1" customWidth="1"/>
    <col min="11" max="12" width="8.88671875" style="4"/>
    <col min="13" max="13" width="9.88671875" style="4" bestFit="1" customWidth="1"/>
    <col min="14" max="14" width="11.44140625" style="4" bestFit="1" customWidth="1"/>
    <col min="15" max="15" width="9.88671875" style="4" customWidth="1"/>
    <col min="16" max="16384" width="8.88671875" style="4"/>
  </cols>
  <sheetData>
    <row r="1" spans="1:14" ht="23.4" x14ac:dyDescent="0.4">
      <c r="A1" s="3" t="s">
        <v>1</v>
      </c>
      <c r="B1" s="3" t="s">
        <v>0</v>
      </c>
      <c r="C1" s="3" t="s">
        <v>7</v>
      </c>
      <c r="D1" s="3" t="s">
        <v>2</v>
      </c>
      <c r="E1" s="3" t="s">
        <v>8</v>
      </c>
      <c r="F1" s="3" t="s">
        <v>3</v>
      </c>
      <c r="J1" s="69" t="s">
        <v>88</v>
      </c>
    </row>
    <row r="2" spans="1:14" x14ac:dyDescent="0.4">
      <c r="A2" s="5">
        <v>0</v>
      </c>
      <c r="B2" s="6">
        <v>44896</v>
      </c>
      <c r="C2" s="68">
        <f>+N11</f>
        <v>13.65</v>
      </c>
      <c r="D2" s="7">
        <v>0</v>
      </c>
      <c r="E2" s="7">
        <f>+C2+D2</f>
        <v>13.65</v>
      </c>
      <c r="F2" s="8">
        <v>1000</v>
      </c>
      <c r="I2" s="9" t="s">
        <v>170</v>
      </c>
      <c r="J2" s="70">
        <f>IF(OR(J1="",LEN(J1)&lt;&gt;3),"",WORKDAY(WORKDAY(DATEVALUE("01/"&amp;VLOOKUP(LEFT(J1,1),'Resumo estatístico Futuro DI'!$S$1:$U$13,3,FALSE)&amp;"/"&amp;20&amp;RIGHT(J1,2)),-1,Feriados!$A$2:$A$2000),1,Feriados!$A$2:$A$2000))</f>
        <v>45293</v>
      </c>
    </row>
    <row r="3" spans="1:14" x14ac:dyDescent="0.4">
      <c r="A3" s="5">
        <f>+A2+1</f>
        <v>1</v>
      </c>
      <c r="B3" s="6">
        <f>WORKDAY(B2,1,Feriados!$A$1:$A$936)</f>
        <v>44897</v>
      </c>
      <c r="C3" s="4">
        <f>+C2</f>
        <v>13.65</v>
      </c>
      <c r="D3" s="7">
        <v>0</v>
      </c>
      <c r="E3" s="7">
        <f>+E2+D3</f>
        <v>13.65</v>
      </c>
      <c r="F3" s="11">
        <f>+ROUND(((1+E2/100)^(1/252))*F2,6)</f>
        <v>1000.50788</v>
      </c>
      <c r="I3" s="9" t="s">
        <v>5</v>
      </c>
      <c r="J3" s="10">
        <f>+((+VLOOKUP(J2,B:F,5,FALSE)/F2)-1)*100</f>
        <v>13.932416600000019</v>
      </c>
      <c r="K3" s="7"/>
    </row>
    <row r="4" spans="1:14" x14ac:dyDescent="0.4">
      <c r="A4" s="5">
        <f t="shared" ref="A4:A67" si="0">+A3+1</f>
        <v>2</v>
      </c>
      <c r="B4" s="6">
        <f>WORKDAY(B3,1,Feriados!$A$1:$A$936)</f>
        <v>44900</v>
      </c>
      <c r="C4" s="4">
        <f t="shared" ref="C4:C67" si="1">+C3</f>
        <v>13.65</v>
      </c>
      <c r="D4" s="7">
        <v>0</v>
      </c>
      <c r="E4" s="7">
        <f t="shared" ref="E4:E67" si="2">+E3+D4</f>
        <v>13.65</v>
      </c>
      <c r="F4" s="11">
        <f t="shared" ref="F4:F67" si="3">+ROUND(((1+E3/100)^(1/252))*F3,6)</f>
        <v>1001.016018</v>
      </c>
      <c r="I4" s="9" t="s">
        <v>1</v>
      </c>
      <c r="J4" s="12">
        <f>NETWORKDAYS(B2,J2-1,Feriados!$A$1:$A$936)</f>
        <v>271</v>
      </c>
    </row>
    <row r="5" spans="1:14" x14ac:dyDescent="0.4">
      <c r="A5" s="5">
        <f t="shared" si="0"/>
        <v>3</v>
      </c>
      <c r="B5" s="6">
        <f>WORKDAY(B4,1,Feriados!$A$1:$A$936)</f>
        <v>44901</v>
      </c>
      <c r="C5" s="4">
        <f t="shared" si="1"/>
        <v>13.65</v>
      </c>
      <c r="D5" s="7">
        <v>0</v>
      </c>
      <c r="E5" s="7">
        <f t="shared" si="2"/>
        <v>13.65</v>
      </c>
      <c r="F5" s="11">
        <f t="shared" si="3"/>
        <v>1001.524414</v>
      </c>
      <c r="I5" s="9" t="s">
        <v>6</v>
      </c>
      <c r="J5" s="10">
        <f>(((J3/100+1)^(252/J4))-1)*100</f>
        <v>12.89526482371388</v>
      </c>
    </row>
    <row r="6" spans="1:14" ht="23.4" x14ac:dyDescent="0.4">
      <c r="A6" s="5">
        <f t="shared" si="0"/>
        <v>4</v>
      </c>
      <c r="B6" s="72">
        <f>WORKDAY(B5,1,Feriados!$A$1:$A$936)</f>
        <v>44902</v>
      </c>
      <c r="C6" s="73">
        <f t="shared" si="1"/>
        <v>13.65</v>
      </c>
      <c r="D6" s="74">
        <f>VLOOKUP(B6,$I$10:$J$19,2,FALSE)/100</f>
        <v>0</v>
      </c>
      <c r="E6" s="74">
        <f t="shared" si="2"/>
        <v>13.65</v>
      </c>
      <c r="F6" s="11">
        <f t="shared" si="3"/>
        <v>1002.033069</v>
      </c>
      <c r="I6" s="13" t="s">
        <v>9</v>
      </c>
      <c r="J6" s="10">
        <f t="array" ref="J6">AVERAGE(IF(J2&gt;=B:B,IF(B2&lt;B:B,E:E)))</f>
        <v>12.89169741697423</v>
      </c>
      <c r="K6" s="7"/>
    </row>
    <row r="7" spans="1:14" x14ac:dyDescent="0.4">
      <c r="A7" s="5">
        <f t="shared" si="0"/>
        <v>5</v>
      </c>
      <c r="B7" s="6">
        <f>WORKDAY(B6,1,Feriados!$A$1:$A$936)</f>
        <v>44903</v>
      </c>
      <c r="C7" s="4">
        <f t="shared" si="1"/>
        <v>13.65</v>
      </c>
      <c r="D7" s="7">
        <v>0</v>
      </c>
      <c r="E7" s="7">
        <f t="shared" si="2"/>
        <v>13.65</v>
      </c>
      <c r="F7" s="11">
        <f t="shared" si="3"/>
        <v>1002.541982</v>
      </c>
      <c r="I7" s="13" t="s">
        <v>169</v>
      </c>
      <c r="J7" s="62">
        <f>+VLOOKUP(J1,'Resumo estatístico Futuro DI'!A$18:T$88,20,FALSE)</f>
        <v>13.98</v>
      </c>
    </row>
    <row r="8" spans="1:14" x14ac:dyDescent="0.4">
      <c r="A8" s="5">
        <f t="shared" si="0"/>
        <v>6</v>
      </c>
      <c r="B8" s="6">
        <f>WORKDAY(B7,1,Feriados!$A$1:$A$936)</f>
        <v>44904</v>
      </c>
      <c r="C8" s="4">
        <f t="shared" si="1"/>
        <v>13.65</v>
      </c>
      <c r="D8" s="7">
        <v>0</v>
      </c>
      <c r="E8" s="7">
        <f t="shared" si="2"/>
        <v>13.65</v>
      </c>
      <c r="F8" s="11">
        <f t="shared" si="3"/>
        <v>1003.051153</v>
      </c>
      <c r="I8" s="13" t="s">
        <v>171</v>
      </c>
      <c r="J8" s="62">
        <f>+J6-J7</f>
        <v>-1.0883025830257704</v>
      </c>
    </row>
    <row r="9" spans="1:14" x14ac:dyDescent="0.4">
      <c r="A9" s="5">
        <f t="shared" si="0"/>
        <v>7</v>
      </c>
      <c r="B9" s="6">
        <f>WORKDAY(B8,1,Feriados!$A$1:$A$936)</f>
        <v>44907</v>
      </c>
      <c r="C9" s="4">
        <f t="shared" si="1"/>
        <v>13.65</v>
      </c>
      <c r="D9" s="7">
        <v>0</v>
      </c>
      <c r="E9" s="7">
        <f t="shared" si="2"/>
        <v>13.65</v>
      </c>
      <c r="F9" s="11">
        <f t="shared" si="3"/>
        <v>1003.560583</v>
      </c>
    </row>
    <row r="10" spans="1:14" x14ac:dyDescent="0.4">
      <c r="A10" s="5">
        <f t="shared" si="0"/>
        <v>8</v>
      </c>
      <c r="B10" s="6">
        <f>WORKDAY(B9,1,Feriados!$A$1:$A$936)</f>
        <v>44908</v>
      </c>
      <c r="C10" s="4">
        <f t="shared" si="1"/>
        <v>13.65</v>
      </c>
      <c r="D10" s="7">
        <v>0</v>
      </c>
      <c r="E10" s="7">
        <f t="shared" si="2"/>
        <v>13.65</v>
      </c>
      <c r="F10" s="11">
        <f t="shared" si="3"/>
        <v>1004.070272</v>
      </c>
      <c r="I10" s="14" t="s">
        <v>4</v>
      </c>
      <c r="J10" s="14" t="s">
        <v>2</v>
      </c>
      <c r="M10" s="14" t="s">
        <v>166</v>
      </c>
      <c r="N10" s="14" t="s">
        <v>167</v>
      </c>
    </row>
    <row r="11" spans="1:14" ht="23.4" x14ac:dyDescent="0.4">
      <c r="A11" s="5">
        <f t="shared" si="0"/>
        <v>9</v>
      </c>
      <c r="B11" s="6">
        <f>WORKDAY(B10,1,Feriados!$A$1:$A$936)</f>
        <v>44909</v>
      </c>
      <c r="C11" s="4">
        <f t="shared" si="1"/>
        <v>13.65</v>
      </c>
      <c r="D11" s="7">
        <v>0</v>
      </c>
      <c r="E11" s="7">
        <f t="shared" si="2"/>
        <v>13.65</v>
      </c>
      <c r="F11" s="11">
        <f t="shared" si="3"/>
        <v>1004.5802200000001</v>
      </c>
      <c r="I11" s="71">
        <v>44902</v>
      </c>
      <c r="J11" s="15">
        <v>0</v>
      </c>
      <c r="M11" s="9" t="s">
        <v>168</v>
      </c>
      <c r="N11" s="62">
        <f>+'Resumo estatístico Futuro DI'!B3*100</f>
        <v>13.65</v>
      </c>
    </row>
    <row r="12" spans="1:14" x14ac:dyDescent="0.4">
      <c r="A12" s="5">
        <f t="shared" si="0"/>
        <v>10</v>
      </c>
      <c r="B12" s="6">
        <f>WORKDAY(B11,1,Feriados!$A$1:$A$936)</f>
        <v>44910</v>
      </c>
      <c r="C12" s="4">
        <f t="shared" si="1"/>
        <v>13.65</v>
      </c>
      <c r="D12" s="7">
        <v>0</v>
      </c>
      <c r="E12" s="7">
        <f t="shared" si="2"/>
        <v>13.65</v>
      </c>
      <c r="F12" s="11">
        <f t="shared" si="3"/>
        <v>1005.090427</v>
      </c>
      <c r="I12" s="71">
        <v>44958</v>
      </c>
      <c r="J12" s="15">
        <v>0</v>
      </c>
      <c r="M12" s="15" t="s">
        <v>85</v>
      </c>
      <c r="N12" s="10">
        <f>+VLOOKUP(M12,'Resumo estatístico Futuro DI'!A$18:T$88,20,FALSE)</f>
        <v>13.78</v>
      </c>
    </row>
    <row r="13" spans="1:14" x14ac:dyDescent="0.4">
      <c r="A13" s="5">
        <f t="shared" si="0"/>
        <v>11</v>
      </c>
      <c r="B13" s="6">
        <f>WORKDAY(B12,1,Feriados!$A$1:$A$936)</f>
        <v>44911</v>
      </c>
      <c r="C13" s="4">
        <f t="shared" si="1"/>
        <v>13.65</v>
      </c>
      <c r="D13" s="7">
        <v>0</v>
      </c>
      <c r="E13" s="7">
        <f t="shared" si="2"/>
        <v>13.65</v>
      </c>
      <c r="F13" s="11">
        <f t="shared" si="3"/>
        <v>1005.600893</v>
      </c>
      <c r="I13" s="71">
        <v>45000</v>
      </c>
      <c r="J13" s="15">
        <v>0</v>
      </c>
      <c r="M13" s="15" t="s">
        <v>86</v>
      </c>
      <c r="N13" s="10">
        <f>+VLOOKUP(M13,'Resumo estatístico Futuro DI'!A$18:T$88,20,FALSE)</f>
        <v>13.98</v>
      </c>
    </row>
    <row r="14" spans="1:14" x14ac:dyDescent="0.4">
      <c r="A14" s="5">
        <f t="shared" si="0"/>
        <v>12</v>
      </c>
      <c r="B14" s="6">
        <f>WORKDAY(B13,1,Feriados!$A$1:$A$936)</f>
        <v>44914</v>
      </c>
      <c r="C14" s="4">
        <f t="shared" si="1"/>
        <v>13.65</v>
      </c>
      <c r="D14" s="7">
        <v>0</v>
      </c>
      <c r="E14" s="7">
        <f t="shared" si="2"/>
        <v>13.65</v>
      </c>
      <c r="F14" s="11">
        <f t="shared" si="3"/>
        <v>1006.111618</v>
      </c>
      <c r="I14" s="71">
        <v>45049</v>
      </c>
      <c r="J14" s="15">
        <v>-50</v>
      </c>
      <c r="M14" s="15" t="s">
        <v>87</v>
      </c>
      <c r="N14" s="10">
        <f>+VLOOKUP(M14,'Resumo estatístico Futuro DI'!A$18:T$88,20,FALSE)</f>
        <v>14.02</v>
      </c>
    </row>
    <row r="15" spans="1:14" ht="31.2" x14ac:dyDescent="0.6">
      <c r="A15" s="5">
        <f t="shared" si="0"/>
        <v>13</v>
      </c>
      <c r="B15" s="6">
        <f>WORKDAY(B14,1,Feriados!$A$1:$A$936)</f>
        <v>44915</v>
      </c>
      <c r="C15" s="4">
        <f t="shared" si="1"/>
        <v>13.65</v>
      </c>
      <c r="D15" s="7">
        <v>0</v>
      </c>
      <c r="E15" s="7">
        <f t="shared" si="2"/>
        <v>13.65</v>
      </c>
      <c r="F15" s="11">
        <f t="shared" si="3"/>
        <v>1006.622602</v>
      </c>
      <c r="I15" s="71">
        <v>45091</v>
      </c>
      <c r="J15" s="15">
        <v>-50</v>
      </c>
      <c r="M15" s="100" t="s">
        <v>88</v>
      </c>
      <c r="N15" s="101">
        <f>+VLOOKUP(M15,'Resumo estatístico Futuro DI'!A$18:T$88,20,FALSE)</f>
        <v>13.98</v>
      </c>
    </row>
    <row r="16" spans="1:14" x14ac:dyDescent="0.4">
      <c r="A16" s="5">
        <f t="shared" si="0"/>
        <v>14</v>
      </c>
      <c r="B16" s="6">
        <f>WORKDAY(B15,1,Feriados!$A$1:$A$936)</f>
        <v>44916</v>
      </c>
      <c r="C16" s="4">
        <f t="shared" si="1"/>
        <v>13.65</v>
      </c>
      <c r="D16" s="7">
        <v>0</v>
      </c>
      <c r="E16" s="7">
        <f t="shared" si="2"/>
        <v>13.65</v>
      </c>
      <c r="F16" s="11">
        <f t="shared" si="3"/>
        <v>1007.1338459999999</v>
      </c>
      <c r="I16" s="71">
        <v>45140</v>
      </c>
      <c r="J16" s="15">
        <v>-50</v>
      </c>
    </row>
    <row r="17" spans="1:10" x14ac:dyDescent="0.4">
      <c r="A17" s="5">
        <f t="shared" si="0"/>
        <v>15</v>
      </c>
      <c r="B17" s="6">
        <f>WORKDAY(B16,1,Feriados!$A$1:$A$936)</f>
        <v>44917</v>
      </c>
      <c r="C17" s="4">
        <f t="shared" si="1"/>
        <v>13.65</v>
      </c>
      <c r="D17" s="7">
        <v>0</v>
      </c>
      <c r="E17" s="7">
        <f t="shared" si="2"/>
        <v>13.65</v>
      </c>
      <c r="F17" s="11">
        <f t="shared" si="3"/>
        <v>1007.64535</v>
      </c>
      <c r="I17" s="71">
        <v>45189</v>
      </c>
      <c r="J17" s="15">
        <v>0</v>
      </c>
    </row>
    <row r="18" spans="1:10" x14ac:dyDescent="0.4">
      <c r="A18" s="5">
        <f t="shared" si="0"/>
        <v>16</v>
      </c>
      <c r="B18" s="6">
        <f>WORKDAY(B17,1,Feriados!$A$1:$A$936)</f>
        <v>44918</v>
      </c>
      <c r="C18" s="4">
        <f t="shared" si="1"/>
        <v>13.65</v>
      </c>
      <c r="D18" s="7">
        <v>0</v>
      </c>
      <c r="E18" s="7">
        <f t="shared" si="2"/>
        <v>13.65</v>
      </c>
      <c r="F18" s="11">
        <f t="shared" si="3"/>
        <v>1008.157113</v>
      </c>
      <c r="I18" s="71">
        <v>45224</v>
      </c>
      <c r="J18" s="15">
        <v>0</v>
      </c>
    </row>
    <row r="19" spans="1:10" x14ac:dyDescent="0.4">
      <c r="A19" s="5">
        <f t="shared" si="0"/>
        <v>17</v>
      </c>
      <c r="B19" s="6">
        <f>WORKDAY(B18,1,Feriados!$A$1:$A$936)</f>
        <v>44921</v>
      </c>
      <c r="C19" s="4">
        <f t="shared" si="1"/>
        <v>13.65</v>
      </c>
      <c r="D19" s="7">
        <v>0</v>
      </c>
      <c r="E19" s="7">
        <f t="shared" si="2"/>
        <v>13.65</v>
      </c>
      <c r="F19" s="11">
        <f t="shared" si="3"/>
        <v>1008.669136</v>
      </c>
      <c r="I19" s="71">
        <v>45266</v>
      </c>
      <c r="J19" s="15">
        <v>0</v>
      </c>
    </row>
    <row r="20" spans="1:10" x14ac:dyDescent="0.4">
      <c r="A20" s="5">
        <f t="shared" si="0"/>
        <v>18</v>
      </c>
      <c r="B20" s="6">
        <f>WORKDAY(B19,1,Feriados!$A$1:$A$936)</f>
        <v>44922</v>
      </c>
      <c r="C20" s="4">
        <f t="shared" si="1"/>
        <v>13.65</v>
      </c>
      <c r="D20" s="7">
        <v>0</v>
      </c>
      <c r="E20" s="7">
        <f t="shared" si="2"/>
        <v>13.65</v>
      </c>
      <c r="F20" s="11">
        <f t="shared" si="3"/>
        <v>1009.181419</v>
      </c>
    </row>
    <row r="21" spans="1:10" x14ac:dyDescent="0.4">
      <c r="A21" s="5">
        <f t="shared" si="0"/>
        <v>19</v>
      </c>
      <c r="B21" s="6">
        <f>WORKDAY(B20,1,Feriados!$A$1:$A$936)</f>
        <v>44923</v>
      </c>
      <c r="C21" s="4">
        <f t="shared" si="1"/>
        <v>13.65</v>
      </c>
      <c r="D21" s="7">
        <v>0</v>
      </c>
      <c r="E21" s="7">
        <f t="shared" si="2"/>
        <v>13.65</v>
      </c>
      <c r="F21" s="11">
        <f t="shared" si="3"/>
        <v>1009.6939620000001</v>
      </c>
    </row>
    <row r="22" spans="1:10" x14ac:dyDescent="0.4">
      <c r="A22" s="5">
        <f t="shared" si="0"/>
        <v>20</v>
      </c>
      <c r="B22" s="6">
        <f>WORKDAY(B21,1,Feriados!$A$1:$A$936)</f>
        <v>44924</v>
      </c>
      <c r="C22" s="4">
        <f t="shared" si="1"/>
        <v>13.65</v>
      </c>
      <c r="D22" s="7">
        <v>0</v>
      </c>
      <c r="E22" s="7">
        <f t="shared" si="2"/>
        <v>13.65</v>
      </c>
      <c r="F22" s="11">
        <f t="shared" si="3"/>
        <v>1010.206766</v>
      </c>
    </row>
    <row r="23" spans="1:10" x14ac:dyDescent="0.4">
      <c r="A23" s="5">
        <f t="shared" si="0"/>
        <v>21</v>
      </c>
      <c r="B23" s="6">
        <f>WORKDAY(B22,1,Feriados!$A$1:$A$936)</f>
        <v>44925</v>
      </c>
      <c r="C23" s="4">
        <f t="shared" si="1"/>
        <v>13.65</v>
      </c>
      <c r="D23" s="7">
        <v>0</v>
      </c>
      <c r="E23" s="7">
        <f t="shared" si="2"/>
        <v>13.65</v>
      </c>
      <c r="F23" s="11">
        <f t="shared" si="3"/>
        <v>1010.71983</v>
      </c>
    </row>
    <row r="24" spans="1:10" x14ac:dyDescent="0.4">
      <c r="A24" s="63">
        <f t="shared" si="0"/>
        <v>22</v>
      </c>
      <c r="B24" s="64">
        <f>WORKDAY(B23,1,Feriados!$A$1:$A$936)</f>
        <v>44928</v>
      </c>
      <c r="C24" s="65">
        <f t="shared" si="1"/>
        <v>13.65</v>
      </c>
      <c r="D24" s="66">
        <v>0</v>
      </c>
      <c r="E24" s="66">
        <f t="shared" si="2"/>
        <v>13.65</v>
      </c>
      <c r="F24" s="67">
        <f t="shared" si="3"/>
        <v>1011.233155</v>
      </c>
    </row>
    <row r="25" spans="1:10" x14ac:dyDescent="0.4">
      <c r="A25" s="5">
        <f t="shared" si="0"/>
        <v>23</v>
      </c>
      <c r="B25" s="6">
        <f>WORKDAY(B24,1,Feriados!$A$1:$A$936)</f>
        <v>44929</v>
      </c>
      <c r="C25" s="4">
        <f t="shared" si="1"/>
        <v>13.65</v>
      </c>
      <c r="D25" s="7">
        <v>0</v>
      </c>
      <c r="E25" s="7">
        <f t="shared" si="2"/>
        <v>13.65</v>
      </c>
      <c r="F25" s="11">
        <f t="shared" si="3"/>
        <v>1011.74674</v>
      </c>
    </row>
    <row r="26" spans="1:10" x14ac:dyDescent="0.4">
      <c r="A26" s="5">
        <f t="shared" si="0"/>
        <v>24</v>
      </c>
      <c r="B26" s="6">
        <f>WORKDAY(B25,1,Feriados!$A$1:$A$936)</f>
        <v>44930</v>
      </c>
      <c r="C26" s="4">
        <f t="shared" si="1"/>
        <v>13.65</v>
      </c>
      <c r="D26" s="7">
        <v>0</v>
      </c>
      <c r="E26" s="7">
        <f t="shared" si="2"/>
        <v>13.65</v>
      </c>
      <c r="F26" s="11">
        <f t="shared" si="3"/>
        <v>1012.260586</v>
      </c>
    </row>
    <row r="27" spans="1:10" x14ac:dyDescent="0.4">
      <c r="A27" s="5">
        <f t="shared" si="0"/>
        <v>25</v>
      </c>
      <c r="B27" s="6">
        <f>WORKDAY(B26,1,Feriados!$A$1:$A$936)</f>
        <v>44931</v>
      </c>
      <c r="C27" s="4">
        <f t="shared" si="1"/>
        <v>13.65</v>
      </c>
      <c r="D27" s="7">
        <v>0</v>
      </c>
      <c r="E27" s="7">
        <f t="shared" si="2"/>
        <v>13.65</v>
      </c>
      <c r="F27" s="11">
        <f t="shared" si="3"/>
        <v>1012.774693</v>
      </c>
    </row>
    <row r="28" spans="1:10" x14ac:dyDescent="0.4">
      <c r="A28" s="5">
        <f t="shared" si="0"/>
        <v>26</v>
      </c>
      <c r="B28" s="6">
        <f>WORKDAY(B27,1,Feriados!$A$1:$A$936)</f>
        <v>44932</v>
      </c>
      <c r="C28" s="4">
        <f t="shared" si="1"/>
        <v>13.65</v>
      </c>
      <c r="D28" s="7">
        <v>0</v>
      </c>
      <c r="E28" s="7">
        <f t="shared" si="2"/>
        <v>13.65</v>
      </c>
      <c r="F28" s="11">
        <f t="shared" si="3"/>
        <v>1013.2890609999999</v>
      </c>
    </row>
    <row r="29" spans="1:10" x14ac:dyDescent="0.4">
      <c r="A29" s="5">
        <f t="shared" si="0"/>
        <v>27</v>
      </c>
      <c r="B29" s="6">
        <f>WORKDAY(B28,1,Feriados!$A$1:$A$936)</f>
        <v>44935</v>
      </c>
      <c r="C29" s="4">
        <f t="shared" si="1"/>
        <v>13.65</v>
      </c>
      <c r="D29" s="7">
        <v>0</v>
      </c>
      <c r="E29" s="7">
        <f t="shared" si="2"/>
        <v>13.65</v>
      </c>
      <c r="F29" s="11">
        <f t="shared" si="3"/>
        <v>1013.803691</v>
      </c>
    </row>
    <row r="30" spans="1:10" x14ac:dyDescent="0.4">
      <c r="A30" s="5">
        <f t="shared" si="0"/>
        <v>28</v>
      </c>
      <c r="B30" s="6">
        <f>WORKDAY(B29,1,Feriados!$A$1:$A$936)</f>
        <v>44936</v>
      </c>
      <c r="C30" s="4">
        <f t="shared" si="1"/>
        <v>13.65</v>
      </c>
      <c r="D30" s="7">
        <v>0</v>
      </c>
      <c r="E30" s="7">
        <f t="shared" si="2"/>
        <v>13.65</v>
      </c>
      <c r="F30" s="11">
        <f t="shared" si="3"/>
        <v>1014.318582</v>
      </c>
    </row>
    <row r="31" spans="1:10" x14ac:dyDescent="0.4">
      <c r="A31" s="5">
        <f t="shared" si="0"/>
        <v>29</v>
      </c>
      <c r="B31" s="6">
        <f>WORKDAY(B30,1,Feriados!$A$1:$A$936)</f>
        <v>44937</v>
      </c>
      <c r="C31" s="4">
        <f t="shared" si="1"/>
        <v>13.65</v>
      </c>
      <c r="D31" s="7">
        <v>0</v>
      </c>
      <c r="E31" s="7">
        <f t="shared" si="2"/>
        <v>13.65</v>
      </c>
      <c r="F31" s="11">
        <f t="shared" si="3"/>
        <v>1014.833735</v>
      </c>
    </row>
    <row r="32" spans="1:10" x14ac:dyDescent="0.4">
      <c r="A32" s="5">
        <f t="shared" si="0"/>
        <v>30</v>
      </c>
      <c r="B32" s="6">
        <f>WORKDAY(B31,1,Feriados!$A$1:$A$936)</f>
        <v>44938</v>
      </c>
      <c r="C32" s="4">
        <f t="shared" si="1"/>
        <v>13.65</v>
      </c>
      <c r="D32" s="7">
        <v>0</v>
      </c>
      <c r="E32" s="7">
        <f t="shared" si="2"/>
        <v>13.65</v>
      </c>
      <c r="F32" s="11">
        <f t="shared" si="3"/>
        <v>1015.349149</v>
      </c>
    </row>
    <row r="33" spans="1:6" x14ac:dyDescent="0.4">
      <c r="A33" s="5">
        <f t="shared" si="0"/>
        <v>31</v>
      </c>
      <c r="B33" s="6">
        <f>WORKDAY(B32,1,Feriados!$A$1:$A$936)</f>
        <v>44939</v>
      </c>
      <c r="C33" s="4">
        <f t="shared" si="1"/>
        <v>13.65</v>
      </c>
      <c r="D33" s="7">
        <v>0</v>
      </c>
      <c r="E33" s="7">
        <f t="shared" si="2"/>
        <v>13.65</v>
      </c>
      <c r="F33" s="11">
        <f t="shared" si="3"/>
        <v>1015.864825</v>
      </c>
    </row>
    <row r="34" spans="1:6" x14ac:dyDescent="0.4">
      <c r="A34" s="5">
        <f t="shared" si="0"/>
        <v>32</v>
      </c>
      <c r="B34" s="6">
        <f>WORKDAY(B33,1,Feriados!$A$1:$A$936)</f>
        <v>44942</v>
      </c>
      <c r="C34" s="4">
        <f t="shared" si="1"/>
        <v>13.65</v>
      </c>
      <c r="D34" s="7">
        <v>0</v>
      </c>
      <c r="E34" s="7">
        <f t="shared" si="2"/>
        <v>13.65</v>
      </c>
      <c r="F34" s="11">
        <f t="shared" si="3"/>
        <v>1016.380763</v>
      </c>
    </row>
    <row r="35" spans="1:6" x14ac:dyDescent="0.4">
      <c r="A35" s="5">
        <f t="shared" si="0"/>
        <v>33</v>
      </c>
      <c r="B35" s="6">
        <f>WORKDAY(B34,1,Feriados!$A$1:$A$936)</f>
        <v>44943</v>
      </c>
      <c r="C35" s="4">
        <f t="shared" si="1"/>
        <v>13.65</v>
      </c>
      <c r="D35" s="7">
        <v>0</v>
      </c>
      <c r="E35" s="7">
        <f t="shared" si="2"/>
        <v>13.65</v>
      </c>
      <c r="F35" s="11">
        <f t="shared" si="3"/>
        <v>1016.896963</v>
      </c>
    </row>
    <row r="36" spans="1:6" x14ac:dyDescent="0.4">
      <c r="A36" s="5">
        <f t="shared" si="0"/>
        <v>34</v>
      </c>
      <c r="B36" s="6">
        <f>WORKDAY(B35,1,Feriados!$A$1:$A$936)</f>
        <v>44944</v>
      </c>
      <c r="C36" s="4">
        <f t="shared" si="1"/>
        <v>13.65</v>
      </c>
      <c r="D36" s="7">
        <v>0</v>
      </c>
      <c r="E36" s="7">
        <f t="shared" si="2"/>
        <v>13.65</v>
      </c>
      <c r="F36" s="11">
        <f t="shared" si="3"/>
        <v>1017.413425</v>
      </c>
    </row>
    <row r="37" spans="1:6" x14ac:dyDescent="0.4">
      <c r="A37" s="5">
        <f t="shared" si="0"/>
        <v>35</v>
      </c>
      <c r="B37" s="6">
        <f>WORKDAY(B36,1,Feriados!$A$1:$A$936)</f>
        <v>44945</v>
      </c>
      <c r="C37" s="4">
        <f t="shared" si="1"/>
        <v>13.65</v>
      </c>
      <c r="D37" s="7">
        <v>0</v>
      </c>
      <c r="E37" s="7">
        <f t="shared" si="2"/>
        <v>13.65</v>
      </c>
      <c r="F37" s="11">
        <f t="shared" si="3"/>
        <v>1017.930149</v>
      </c>
    </row>
    <row r="38" spans="1:6" x14ac:dyDescent="0.4">
      <c r="A38" s="5">
        <f t="shared" si="0"/>
        <v>36</v>
      </c>
      <c r="B38" s="6">
        <f>WORKDAY(B37,1,Feriados!$A$1:$A$936)</f>
        <v>44946</v>
      </c>
      <c r="C38" s="4">
        <f t="shared" si="1"/>
        <v>13.65</v>
      </c>
      <c r="D38" s="7">
        <v>0</v>
      </c>
      <c r="E38" s="7">
        <f t="shared" si="2"/>
        <v>13.65</v>
      </c>
      <c r="F38" s="11">
        <f t="shared" si="3"/>
        <v>1018.447136</v>
      </c>
    </row>
    <row r="39" spans="1:6" x14ac:dyDescent="0.4">
      <c r="A39" s="5">
        <f t="shared" si="0"/>
        <v>37</v>
      </c>
      <c r="B39" s="6">
        <f>WORKDAY(B38,1,Feriados!$A$1:$A$936)</f>
        <v>44949</v>
      </c>
      <c r="C39" s="4">
        <f t="shared" si="1"/>
        <v>13.65</v>
      </c>
      <c r="D39" s="7">
        <v>0</v>
      </c>
      <c r="E39" s="7">
        <f t="shared" si="2"/>
        <v>13.65</v>
      </c>
      <c r="F39" s="11">
        <f t="shared" si="3"/>
        <v>1018.964385</v>
      </c>
    </row>
    <row r="40" spans="1:6" x14ac:dyDescent="0.4">
      <c r="A40" s="5">
        <f t="shared" si="0"/>
        <v>38</v>
      </c>
      <c r="B40" s="6">
        <f>WORKDAY(B39,1,Feriados!$A$1:$A$936)</f>
        <v>44950</v>
      </c>
      <c r="C40" s="4">
        <f t="shared" si="1"/>
        <v>13.65</v>
      </c>
      <c r="D40" s="7">
        <v>0</v>
      </c>
      <c r="E40" s="7">
        <f t="shared" si="2"/>
        <v>13.65</v>
      </c>
      <c r="F40" s="11">
        <f t="shared" si="3"/>
        <v>1019.481897</v>
      </c>
    </row>
    <row r="41" spans="1:6" x14ac:dyDescent="0.4">
      <c r="A41" s="5">
        <f t="shared" si="0"/>
        <v>39</v>
      </c>
      <c r="B41" s="6">
        <f>WORKDAY(B40,1,Feriados!$A$1:$A$936)</f>
        <v>44951</v>
      </c>
      <c r="C41" s="4">
        <f t="shared" si="1"/>
        <v>13.65</v>
      </c>
      <c r="D41" s="7">
        <v>0</v>
      </c>
      <c r="E41" s="7">
        <f t="shared" si="2"/>
        <v>13.65</v>
      </c>
      <c r="F41" s="11">
        <f t="shared" si="3"/>
        <v>1019.999672</v>
      </c>
    </row>
    <row r="42" spans="1:6" x14ac:dyDescent="0.4">
      <c r="A42" s="5">
        <f t="shared" si="0"/>
        <v>40</v>
      </c>
      <c r="B42" s="6">
        <f>WORKDAY(B41,1,Feriados!$A$1:$A$936)</f>
        <v>44952</v>
      </c>
      <c r="C42" s="4">
        <f t="shared" si="1"/>
        <v>13.65</v>
      </c>
      <c r="D42" s="7">
        <v>0</v>
      </c>
      <c r="E42" s="7">
        <f t="shared" si="2"/>
        <v>13.65</v>
      </c>
      <c r="F42" s="11">
        <f t="shared" si="3"/>
        <v>1020.51771</v>
      </c>
    </row>
    <row r="43" spans="1:6" x14ac:dyDescent="0.4">
      <c r="A43" s="5">
        <f t="shared" si="0"/>
        <v>41</v>
      </c>
      <c r="B43" s="6">
        <f>WORKDAY(B42,1,Feriados!$A$1:$A$936)</f>
        <v>44953</v>
      </c>
      <c r="C43" s="4">
        <f t="shared" si="1"/>
        <v>13.65</v>
      </c>
      <c r="D43" s="7">
        <v>0</v>
      </c>
      <c r="E43" s="7">
        <f t="shared" si="2"/>
        <v>13.65</v>
      </c>
      <c r="F43" s="11">
        <f t="shared" si="3"/>
        <v>1021.036011</v>
      </c>
    </row>
    <row r="44" spans="1:6" x14ac:dyDescent="0.4">
      <c r="A44" s="5">
        <f t="shared" si="0"/>
        <v>42</v>
      </c>
      <c r="B44" s="6">
        <f>WORKDAY(B43,1,Feriados!$A$1:$A$936)</f>
        <v>44956</v>
      </c>
      <c r="C44" s="4">
        <f t="shared" si="1"/>
        <v>13.65</v>
      </c>
      <c r="D44" s="7">
        <v>0</v>
      </c>
      <c r="E44" s="7">
        <f t="shared" si="2"/>
        <v>13.65</v>
      </c>
      <c r="F44" s="11">
        <f t="shared" si="3"/>
        <v>1021.554575</v>
      </c>
    </row>
    <row r="45" spans="1:6" x14ac:dyDescent="0.4">
      <c r="A45" s="5">
        <f t="shared" si="0"/>
        <v>43</v>
      </c>
      <c r="B45" s="6">
        <f>WORKDAY(B44,1,Feriados!$A$1:$A$936)</f>
        <v>44957</v>
      </c>
      <c r="C45" s="4">
        <f t="shared" si="1"/>
        <v>13.65</v>
      </c>
      <c r="D45" s="7">
        <v>0</v>
      </c>
      <c r="E45" s="7">
        <f t="shared" si="2"/>
        <v>13.65</v>
      </c>
      <c r="F45" s="11">
        <f t="shared" si="3"/>
        <v>1022.073403</v>
      </c>
    </row>
    <row r="46" spans="1:6" x14ac:dyDescent="0.4">
      <c r="A46" s="5">
        <f t="shared" si="0"/>
        <v>44</v>
      </c>
      <c r="B46" s="72">
        <f>WORKDAY(B45,1,Feriados!$A$1:$A$936)</f>
        <v>44958</v>
      </c>
      <c r="C46" s="73">
        <f t="shared" si="1"/>
        <v>13.65</v>
      </c>
      <c r="D46" s="74">
        <f>VLOOKUP(B46,$I$10:$J$19,2,FALSE)/100</f>
        <v>0</v>
      </c>
      <c r="E46" s="74">
        <f t="shared" si="2"/>
        <v>13.65</v>
      </c>
      <c r="F46" s="11">
        <f t="shared" si="3"/>
        <v>1022.592494</v>
      </c>
    </row>
    <row r="47" spans="1:6" x14ac:dyDescent="0.4">
      <c r="A47" s="5">
        <f t="shared" si="0"/>
        <v>45</v>
      </c>
      <c r="B47" s="6">
        <f>WORKDAY(B46,1,Feriados!$A$1:$A$936)</f>
        <v>44959</v>
      </c>
      <c r="C47" s="4">
        <f t="shared" si="1"/>
        <v>13.65</v>
      </c>
      <c r="D47" s="7">
        <v>0</v>
      </c>
      <c r="E47" s="7">
        <f t="shared" si="2"/>
        <v>13.65</v>
      </c>
      <c r="F47" s="11">
        <f t="shared" si="3"/>
        <v>1023.111849</v>
      </c>
    </row>
    <row r="48" spans="1:6" x14ac:dyDescent="0.4">
      <c r="A48" s="5">
        <f t="shared" si="0"/>
        <v>46</v>
      </c>
      <c r="B48" s="6">
        <f>WORKDAY(B47,1,Feriados!$A$1:$A$936)</f>
        <v>44960</v>
      </c>
      <c r="C48" s="4">
        <f t="shared" si="1"/>
        <v>13.65</v>
      </c>
      <c r="D48" s="7">
        <v>0</v>
      </c>
      <c r="E48" s="7">
        <f t="shared" si="2"/>
        <v>13.65</v>
      </c>
      <c r="F48" s="11">
        <f t="shared" si="3"/>
        <v>1023.631467</v>
      </c>
    </row>
    <row r="49" spans="1:6" x14ac:dyDescent="0.4">
      <c r="A49" s="5">
        <f t="shared" si="0"/>
        <v>47</v>
      </c>
      <c r="B49" s="6">
        <f>WORKDAY(B48,1,Feriados!$A$1:$A$936)</f>
        <v>44963</v>
      </c>
      <c r="C49" s="4">
        <f t="shared" si="1"/>
        <v>13.65</v>
      </c>
      <c r="D49" s="7">
        <v>0</v>
      </c>
      <c r="E49" s="7">
        <f t="shared" si="2"/>
        <v>13.65</v>
      </c>
      <c r="F49" s="11">
        <f t="shared" si="3"/>
        <v>1024.151349</v>
      </c>
    </row>
    <row r="50" spans="1:6" x14ac:dyDescent="0.4">
      <c r="A50" s="5">
        <f t="shared" si="0"/>
        <v>48</v>
      </c>
      <c r="B50" s="6">
        <f>WORKDAY(B49,1,Feriados!$A$1:$A$936)</f>
        <v>44964</v>
      </c>
      <c r="C50" s="4">
        <f t="shared" si="1"/>
        <v>13.65</v>
      </c>
      <c r="D50" s="7">
        <v>0</v>
      </c>
      <c r="E50" s="7">
        <f t="shared" si="2"/>
        <v>13.65</v>
      </c>
      <c r="F50" s="11">
        <f t="shared" si="3"/>
        <v>1024.671495</v>
      </c>
    </row>
    <row r="51" spans="1:6" x14ac:dyDescent="0.4">
      <c r="A51" s="5">
        <f t="shared" si="0"/>
        <v>49</v>
      </c>
      <c r="B51" s="6">
        <f>WORKDAY(B50,1,Feriados!$A$1:$A$936)</f>
        <v>44965</v>
      </c>
      <c r="C51" s="4">
        <f t="shared" si="1"/>
        <v>13.65</v>
      </c>
      <c r="D51" s="7">
        <v>0</v>
      </c>
      <c r="E51" s="7">
        <f t="shared" si="2"/>
        <v>13.65</v>
      </c>
      <c r="F51" s="11">
        <f t="shared" si="3"/>
        <v>1025.191906</v>
      </c>
    </row>
    <row r="52" spans="1:6" x14ac:dyDescent="0.4">
      <c r="A52" s="5">
        <f t="shared" si="0"/>
        <v>50</v>
      </c>
      <c r="B52" s="6">
        <f>WORKDAY(B51,1,Feriados!$A$1:$A$936)</f>
        <v>44966</v>
      </c>
      <c r="C52" s="4">
        <f t="shared" si="1"/>
        <v>13.65</v>
      </c>
      <c r="D52" s="7">
        <v>0</v>
      </c>
      <c r="E52" s="7">
        <f t="shared" si="2"/>
        <v>13.65</v>
      </c>
      <c r="F52" s="11">
        <f t="shared" si="3"/>
        <v>1025.712581</v>
      </c>
    </row>
    <row r="53" spans="1:6" x14ac:dyDescent="0.4">
      <c r="A53" s="5">
        <f t="shared" si="0"/>
        <v>51</v>
      </c>
      <c r="B53" s="6">
        <f>WORKDAY(B52,1,Feriados!$A$1:$A$936)</f>
        <v>44967</v>
      </c>
      <c r="C53" s="4">
        <f t="shared" si="1"/>
        <v>13.65</v>
      </c>
      <c r="D53" s="7">
        <v>0</v>
      </c>
      <c r="E53" s="7">
        <f t="shared" si="2"/>
        <v>13.65</v>
      </c>
      <c r="F53" s="11">
        <f t="shared" si="3"/>
        <v>1026.23352</v>
      </c>
    </row>
    <row r="54" spans="1:6" x14ac:dyDescent="0.4">
      <c r="A54" s="5">
        <f t="shared" si="0"/>
        <v>52</v>
      </c>
      <c r="B54" s="6">
        <f>WORKDAY(B53,1,Feriados!$A$1:$A$936)</f>
        <v>44970</v>
      </c>
      <c r="C54" s="4">
        <f t="shared" si="1"/>
        <v>13.65</v>
      </c>
      <c r="D54" s="7">
        <v>0</v>
      </c>
      <c r="E54" s="7">
        <f t="shared" si="2"/>
        <v>13.65</v>
      </c>
      <c r="F54" s="11">
        <f t="shared" si="3"/>
        <v>1026.7547239999999</v>
      </c>
    </row>
    <row r="55" spans="1:6" x14ac:dyDescent="0.4">
      <c r="A55" s="5">
        <f t="shared" si="0"/>
        <v>53</v>
      </c>
      <c r="B55" s="6">
        <f>WORKDAY(B54,1,Feriados!$A$1:$A$936)</f>
        <v>44971</v>
      </c>
      <c r="C55" s="4">
        <f t="shared" si="1"/>
        <v>13.65</v>
      </c>
      <c r="D55" s="7">
        <v>0</v>
      </c>
      <c r="E55" s="7">
        <f t="shared" si="2"/>
        <v>13.65</v>
      </c>
      <c r="F55" s="11">
        <f t="shared" si="3"/>
        <v>1027.2761929999999</v>
      </c>
    </row>
    <row r="56" spans="1:6" x14ac:dyDescent="0.4">
      <c r="A56" s="5">
        <f t="shared" si="0"/>
        <v>54</v>
      </c>
      <c r="B56" s="6">
        <f>WORKDAY(B55,1,Feriados!$A$1:$A$936)</f>
        <v>44972</v>
      </c>
      <c r="C56" s="4">
        <f t="shared" si="1"/>
        <v>13.65</v>
      </c>
      <c r="D56" s="7">
        <v>0</v>
      </c>
      <c r="E56" s="7">
        <f t="shared" si="2"/>
        <v>13.65</v>
      </c>
      <c r="F56" s="11">
        <f t="shared" si="3"/>
        <v>1027.797926</v>
      </c>
    </row>
    <row r="57" spans="1:6" x14ac:dyDescent="0.4">
      <c r="A57" s="5">
        <f t="shared" si="0"/>
        <v>55</v>
      </c>
      <c r="B57" s="6">
        <f>WORKDAY(B56,1,Feriados!$A$1:$A$936)</f>
        <v>44973</v>
      </c>
      <c r="C57" s="4">
        <f t="shared" si="1"/>
        <v>13.65</v>
      </c>
      <c r="D57" s="7">
        <v>0</v>
      </c>
      <c r="E57" s="7">
        <f t="shared" si="2"/>
        <v>13.65</v>
      </c>
      <c r="F57" s="11">
        <f t="shared" si="3"/>
        <v>1028.3199239999999</v>
      </c>
    </row>
    <row r="58" spans="1:6" x14ac:dyDescent="0.4">
      <c r="A58" s="5">
        <f t="shared" si="0"/>
        <v>56</v>
      </c>
      <c r="B58" s="6">
        <f>WORKDAY(B57,1,Feriados!$A$1:$A$936)</f>
        <v>44974</v>
      </c>
      <c r="C58" s="4">
        <f t="shared" si="1"/>
        <v>13.65</v>
      </c>
      <c r="D58" s="7">
        <v>0</v>
      </c>
      <c r="E58" s="7">
        <f t="shared" si="2"/>
        <v>13.65</v>
      </c>
      <c r="F58" s="11">
        <f t="shared" si="3"/>
        <v>1028.8421880000001</v>
      </c>
    </row>
    <row r="59" spans="1:6" x14ac:dyDescent="0.4">
      <c r="A59" s="5">
        <f t="shared" si="0"/>
        <v>57</v>
      </c>
      <c r="B59" s="6">
        <f>WORKDAY(B58,1,Feriados!$A$1:$A$936)</f>
        <v>44979</v>
      </c>
      <c r="C59" s="4">
        <f t="shared" si="1"/>
        <v>13.65</v>
      </c>
      <c r="D59" s="7">
        <v>0</v>
      </c>
      <c r="E59" s="7">
        <f t="shared" si="2"/>
        <v>13.65</v>
      </c>
      <c r="F59" s="11">
        <f t="shared" si="3"/>
        <v>1029.3647169999999</v>
      </c>
    </row>
    <row r="60" spans="1:6" x14ac:dyDescent="0.4">
      <c r="A60" s="5">
        <f t="shared" si="0"/>
        <v>58</v>
      </c>
      <c r="B60" s="6">
        <f>WORKDAY(B59,1,Feriados!$A$1:$A$936)</f>
        <v>44980</v>
      </c>
      <c r="C60" s="4">
        <f t="shared" si="1"/>
        <v>13.65</v>
      </c>
      <c r="D60" s="7">
        <v>0</v>
      </c>
      <c r="E60" s="7">
        <f t="shared" si="2"/>
        <v>13.65</v>
      </c>
      <c r="F60" s="11">
        <f t="shared" si="3"/>
        <v>1029.8875109999999</v>
      </c>
    </row>
    <row r="61" spans="1:6" x14ac:dyDescent="0.4">
      <c r="A61" s="5">
        <f t="shared" si="0"/>
        <v>59</v>
      </c>
      <c r="B61" s="6">
        <f>WORKDAY(B60,1,Feriados!$A$1:$A$936)</f>
        <v>44981</v>
      </c>
      <c r="C61" s="4">
        <f t="shared" si="1"/>
        <v>13.65</v>
      </c>
      <c r="D61" s="7">
        <v>0</v>
      </c>
      <c r="E61" s="7">
        <f t="shared" si="2"/>
        <v>13.65</v>
      </c>
      <c r="F61" s="11">
        <f t="shared" si="3"/>
        <v>1030.4105709999999</v>
      </c>
    </row>
    <row r="62" spans="1:6" x14ac:dyDescent="0.4">
      <c r="A62" s="5">
        <f t="shared" si="0"/>
        <v>60</v>
      </c>
      <c r="B62" s="6">
        <f>WORKDAY(B61,1,Feriados!$A$1:$A$936)</f>
        <v>44984</v>
      </c>
      <c r="C62" s="4">
        <f t="shared" si="1"/>
        <v>13.65</v>
      </c>
      <c r="D62" s="7">
        <v>0</v>
      </c>
      <c r="E62" s="7">
        <f t="shared" si="2"/>
        <v>13.65</v>
      </c>
      <c r="F62" s="11">
        <f t="shared" si="3"/>
        <v>1030.933896</v>
      </c>
    </row>
    <row r="63" spans="1:6" x14ac:dyDescent="0.4">
      <c r="A63" s="5">
        <f t="shared" si="0"/>
        <v>61</v>
      </c>
      <c r="B63" s="6">
        <f>WORKDAY(B62,1,Feriados!$A$1:$A$936)</f>
        <v>44985</v>
      </c>
      <c r="C63" s="4">
        <f t="shared" si="1"/>
        <v>13.65</v>
      </c>
      <c r="D63" s="7">
        <v>0</v>
      </c>
      <c r="E63" s="7">
        <f t="shared" si="2"/>
        <v>13.65</v>
      </c>
      <c r="F63" s="11">
        <f t="shared" si="3"/>
        <v>1031.4574869999999</v>
      </c>
    </row>
    <row r="64" spans="1:6" x14ac:dyDescent="0.4">
      <c r="A64" s="5">
        <f t="shared" si="0"/>
        <v>62</v>
      </c>
      <c r="B64" s="6">
        <f>WORKDAY(B63,1,Feriados!$A$1:$A$936)</f>
        <v>44986</v>
      </c>
      <c r="C64" s="4">
        <f t="shared" si="1"/>
        <v>13.65</v>
      </c>
      <c r="D64" s="7">
        <v>0</v>
      </c>
      <c r="E64" s="7">
        <f t="shared" si="2"/>
        <v>13.65</v>
      </c>
      <c r="F64" s="11">
        <f t="shared" si="3"/>
        <v>1031.981344</v>
      </c>
    </row>
    <row r="65" spans="1:6" x14ac:dyDescent="0.4">
      <c r="A65" s="5">
        <f t="shared" si="0"/>
        <v>63</v>
      </c>
      <c r="B65" s="6">
        <f>WORKDAY(B64,1,Feriados!$A$1:$A$936)</f>
        <v>44987</v>
      </c>
      <c r="C65" s="4">
        <f t="shared" si="1"/>
        <v>13.65</v>
      </c>
      <c r="D65" s="7">
        <v>0</v>
      </c>
      <c r="E65" s="7">
        <f t="shared" si="2"/>
        <v>13.65</v>
      </c>
      <c r="F65" s="11">
        <f t="shared" si="3"/>
        <v>1032.505467</v>
      </c>
    </row>
    <row r="66" spans="1:6" x14ac:dyDescent="0.4">
      <c r="A66" s="5">
        <f t="shared" si="0"/>
        <v>64</v>
      </c>
      <c r="B66" s="6">
        <f>WORKDAY(B65,1,Feriados!$A$1:$A$936)</f>
        <v>44988</v>
      </c>
      <c r="C66" s="4">
        <f t="shared" si="1"/>
        <v>13.65</v>
      </c>
      <c r="D66" s="7">
        <v>0</v>
      </c>
      <c r="E66" s="7">
        <f t="shared" si="2"/>
        <v>13.65</v>
      </c>
      <c r="F66" s="11">
        <f t="shared" si="3"/>
        <v>1033.0298560000001</v>
      </c>
    </row>
    <row r="67" spans="1:6" x14ac:dyDescent="0.4">
      <c r="A67" s="5">
        <f t="shared" si="0"/>
        <v>65</v>
      </c>
      <c r="B67" s="6">
        <f>WORKDAY(B66,1,Feriados!$A$1:$A$936)</f>
        <v>44991</v>
      </c>
      <c r="C67" s="4">
        <f t="shared" si="1"/>
        <v>13.65</v>
      </c>
      <c r="D67" s="7">
        <v>0</v>
      </c>
      <c r="E67" s="7">
        <f t="shared" si="2"/>
        <v>13.65</v>
      </c>
      <c r="F67" s="11">
        <f t="shared" si="3"/>
        <v>1033.5545119999999</v>
      </c>
    </row>
    <row r="68" spans="1:6" x14ac:dyDescent="0.4">
      <c r="A68" s="5">
        <f t="shared" ref="A68:A131" si="4">+A67+1</f>
        <v>66</v>
      </c>
      <c r="B68" s="6">
        <f>WORKDAY(B67,1,Feriados!$A$1:$A$936)</f>
        <v>44992</v>
      </c>
      <c r="C68" s="4">
        <f t="shared" ref="C68:C131" si="5">+C67</f>
        <v>13.65</v>
      </c>
      <c r="D68" s="7">
        <v>0</v>
      </c>
      <c r="E68" s="7">
        <f t="shared" ref="E68:E131" si="6">+E67+D68</f>
        <v>13.65</v>
      </c>
      <c r="F68" s="11">
        <f t="shared" ref="F68:F131" si="7">+ROUND(((1+E67/100)^(1/252))*F67,6)</f>
        <v>1034.079434</v>
      </c>
    </row>
    <row r="69" spans="1:6" x14ac:dyDescent="0.4">
      <c r="A69" s="5">
        <f t="shared" si="4"/>
        <v>67</v>
      </c>
      <c r="B69" s="6">
        <f>WORKDAY(B68,1,Feriados!$A$1:$A$936)</f>
        <v>44993</v>
      </c>
      <c r="C69" s="4">
        <f t="shared" si="5"/>
        <v>13.65</v>
      </c>
      <c r="D69" s="7">
        <v>0</v>
      </c>
      <c r="E69" s="7">
        <f t="shared" si="6"/>
        <v>13.65</v>
      </c>
      <c r="F69" s="11">
        <f t="shared" si="7"/>
        <v>1034.6046229999999</v>
      </c>
    </row>
    <row r="70" spans="1:6" x14ac:dyDescent="0.4">
      <c r="A70" s="5">
        <f t="shared" si="4"/>
        <v>68</v>
      </c>
      <c r="B70" s="6">
        <f>WORKDAY(B69,1,Feriados!$A$1:$A$936)</f>
        <v>44994</v>
      </c>
      <c r="C70" s="4">
        <f t="shared" si="5"/>
        <v>13.65</v>
      </c>
      <c r="D70" s="7">
        <v>0</v>
      </c>
      <c r="E70" s="7">
        <f t="shared" si="6"/>
        <v>13.65</v>
      </c>
      <c r="F70" s="11">
        <f t="shared" si="7"/>
        <v>1035.1300779999999</v>
      </c>
    </row>
    <row r="71" spans="1:6" x14ac:dyDescent="0.4">
      <c r="A71" s="5">
        <f t="shared" si="4"/>
        <v>69</v>
      </c>
      <c r="B71" s="6">
        <f>WORKDAY(B70,1,Feriados!$A$1:$A$936)</f>
        <v>44995</v>
      </c>
      <c r="C71" s="4">
        <f t="shared" si="5"/>
        <v>13.65</v>
      </c>
      <c r="D71" s="7">
        <v>0</v>
      </c>
      <c r="E71" s="7">
        <f t="shared" si="6"/>
        <v>13.65</v>
      </c>
      <c r="F71" s="11">
        <f t="shared" si="7"/>
        <v>1035.6558</v>
      </c>
    </row>
    <row r="72" spans="1:6" x14ac:dyDescent="0.4">
      <c r="A72" s="5">
        <f t="shared" si="4"/>
        <v>70</v>
      </c>
      <c r="B72" s="6">
        <f>WORKDAY(B71,1,Feriados!$A$1:$A$936)</f>
        <v>44998</v>
      </c>
      <c r="C72" s="4">
        <f t="shared" si="5"/>
        <v>13.65</v>
      </c>
      <c r="D72" s="7">
        <v>0</v>
      </c>
      <c r="E72" s="7">
        <f t="shared" si="6"/>
        <v>13.65</v>
      </c>
      <c r="F72" s="11">
        <f t="shared" si="7"/>
        <v>1036.181789</v>
      </c>
    </row>
    <row r="73" spans="1:6" x14ac:dyDescent="0.4">
      <c r="A73" s="5">
        <f t="shared" si="4"/>
        <v>71</v>
      </c>
      <c r="B73" s="6">
        <f>WORKDAY(B72,1,Feriados!$A$1:$A$936)</f>
        <v>44999</v>
      </c>
      <c r="C73" s="4">
        <f t="shared" si="5"/>
        <v>13.65</v>
      </c>
      <c r="D73" s="7">
        <v>0</v>
      </c>
      <c r="E73" s="7">
        <f t="shared" si="6"/>
        <v>13.65</v>
      </c>
      <c r="F73" s="11">
        <f t="shared" si="7"/>
        <v>1036.7080450000001</v>
      </c>
    </row>
    <row r="74" spans="1:6" x14ac:dyDescent="0.4">
      <c r="A74" s="5">
        <f t="shared" si="4"/>
        <v>72</v>
      </c>
      <c r="B74" s="72">
        <f>WORKDAY(B73,1,Feriados!$A$1:$A$936)</f>
        <v>45000</v>
      </c>
      <c r="C74" s="73">
        <f t="shared" si="5"/>
        <v>13.65</v>
      </c>
      <c r="D74" s="74">
        <f>VLOOKUP(B74,$I$10:$J$19,2,FALSE)/100</f>
        <v>0</v>
      </c>
      <c r="E74" s="74">
        <f t="shared" si="6"/>
        <v>13.65</v>
      </c>
      <c r="F74" s="11">
        <f t="shared" si="7"/>
        <v>1037.234569</v>
      </c>
    </row>
    <row r="75" spans="1:6" x14ac:dyDescent="0.4">
      <c r="A75" s="5">
        <f t="shared" si="4"/>
        <v>73</v>
      </c>
      <c r="B75" s="6">
        <f>WORKDAY(B74,1,Feriados!$A$1:$A$936)</f>
        <v>45001</v>
      </c>
      <c r="C75" s="4">
        <f t="shared" si="5"/>
        <v>13.65</v>
      </c>
      <c r="D75" s="7">
        <v>0</v>
      </c>
      <c r="E75" s="7">
        <f t="shared" si="6"/>
        <v>13.65</v>
      </c>
      <c r="F75" s="11">
        <f t="shared" si="7"/>
        <v>1037.76136</v>
      </c>
    </row>
    <row r="76" spans="1:6" x14ac:dyDescent="0.4">
      <c r="A76" s="5">
        <f t="shared" si="4"/>
        <v>74</v>
      </c>
      <c r="B76" s="6">
        <f>WORKDAY(B75,1,Feriados!$A$1:$A$936)</f>
        <v>45002</v>
      </c>
      <c r="C76" s="4">
        <f t="shared" si="5"/>
        <v>13.65</v>
      </c>
      <c r="D76" s="7">
        <v>0</v>
      </c>
      <c r="E76" s="7">
        <f t="shared" si="6"/>
        <v>13.65</v>
      </c>
      <c r="F76" s="11">
        <f t="shared" si="7"/>
        <v>1038.288419</v>
      </c>
    </row>
    <row r="77" spans="1:6" x14ac:dyDescent="0.4">
      <c r="A77" s="5">
        <f t="shared" si="4"/>
        <v>75</v>
      </c>
      <c r="B77" s="6">
        <f>WORKDAY(B76,1,Feriados!$A$1:$A$936)</f>
        <v>45005</v>
      </c>
      <c r="C77" s="4">
        <f t="shared" si="5"/>
        <v>13.65</v>
      </c>
      <c r="D77" s="7">
        <v>0</v>
      </c>
      <c r="E77" s="7">
        <f t="shared" si="6"/>
        <v>13.65</v>
      </c>
      <c r="F77" s="11">
        <f t="shared" si="7"/>
        <v>1038.8157450000001</v>
      </c>
    </row>
    <row r="78" spans="1:6" x14ac:dyDescent="0.4">
      <c r="A78" s="5">
        <f t="shared" si="4"/>
        <v>76</v>
      </c>
      <c r="B78" s="6">
        <f>WORKDAY(B77,1,Feriados!$A$1:$A$936)</f>
        <v>45006</v>
      </c>
      <c r="C78" s="4">
        <f t="shared" si="5"/>
        <v>13.65</v>
      </c>
      <c r="D78" s="7">
        <v>0</v>
      </c>
      <c r="E78" s="7">
        <f t="shared" si="6"/>
        <v>13.65</v>
      </c>
      <c r="F78" s="11">
        <f t="shared" si="7"/>
        <v>1039.343339</v>
      </c>
    </row>
    <row r="79" spans="1:6" x14ac:dyDescent="0.4">
      <c r="A79" s="5">
        <f t="shared" si="4"/>
        <v>77</v>
      </c>
      <c r="B79" s="6">
        <f>WORKDAY(B78,1,Feriados!$A$1:$A$936)</f>
        <v>45007</v>
      </c>
      <c r="C79" s="4">
        <f t="shared" si="5"/>
        <v>13.65</v>
      </c>
      <c r="D79" s="7">
        <v>0</v>
      </c>
      <c r="E79" s="7">
        <f t="shared" si="6"/>
        <v>13.65</v>
      </c>
      <c r="F79" s="11">
        <f t="shared" si="7"/>
        <v>1039.8712009999999</v>
      </c>
    </row>
    <row r="80" spans="1:6" x14ac:dyDescent="0.4">
      <c r="A80" s="5">
        <f t="shared" si="4"/>
        <v>78</v>
      </c>
      <c r="B80" s="6">
        <f>WORKDAY(B79,1,Feriados!$A$1:$A$936)</f>
        <v>45008</v>
      </c>
      <c r="C80" s="4">
        <f t="shared" si="5"/>
        <v>13.65</v>
      </c>
      <c r="D80" s="7">
        <v>0</v>
      </c>
      <c r="E80" s="7">
        <f t="shared" si="6"/>
        <v>13.65</v>
      </c>
      <c r="F80" s="11">
        <f t="shared" si="7"/>
        <v>1040.3993310000001</v>
      </c>
    </row>
    <row r="81" spans="1:6" x14ac:dyDescent="0.4">
      <c r="A81" s="5">
        <f t="shared" si="4"/>
        <v>79</v>
      </c>
      <c r="B81" s="6">
        <f>WORKDAY(B80,1,Feriados!$A$1:$A$936)</f>
        <v>45009</v>
      </c>
      <c r="C81" s="4">
        <f t="shared" si="5"/>
        <v>13.65</v>
      </c>
      <c r="D81" s="7">
        <v>0</v>
      </c>
      <c r="E81" s="7">
        <f t="shared" si="6"/>
        <v>13.65</v>
      </c>
      <c r="F81" s="11">
        <f t="shared" si="7"/>
        <v>1040.927729</v>
      </c>
    </row>
    <row r="82" spans="1:6" x14ac:dyDescent="0.4">
      <c r="A82" s="5">
        <f t="shared" si="4"/>
        <v>80</v>
      </c>
      <c r="B82" s="6">
        <f>WORKDAY(B81,1,Feriados!$A$1:$A$936)</f>
        <v>45012</v>
      </c>
      <c r="C82" s="4">
        <f t="shared" si="5"/>
        <v>13.65</v>
      </c>
      <c r="D82" s="7">
        <v>0</v>
      </c>
      <c r="E82" s="7">
        <f t="shared" si="6"/>
        <v>13.65</v>
      </c>
      <c r="F82" s="11">
        <f t="shared" si="7"/>
        <v>1041.456396</v>
      </c>
    </row>
    <row r="83" spans="1:6" x14ac:dyDescent="0.4">
      <c r="A83" s="5">
        <f t="shared" si="4"/>
        <v>81</v>
      </c>
      <c r="B83" s="6">
        <f>WORKDAY(B82,1,Feriados!$A$1:$A$936)</f>
        <v>45013</v>
      </c>
      <c r="C83" s="4">
        <f t="shared" si="5"/>
        <v>13.65</v>
      </c>
      <c r="D83" s="7">
        <v>0</v>
      </c>
      <c r="E83" s="7">
        <f t="shared" si="6"/>
        <v>13.65</v>
      </c>
      <c r="F83" s="11">
        <f t="shared" si="7"/>
        <v>1041.9853310000001</v>
      </c>
    </row>
    <row r="84" spans="1:6" x14ac:dyDescent="0.4">
      <c r="A84" s="5">
        <f t="shared" si="4"/>
        <v>82</v>
      </c>
      <c r="B84" s="6">
        <f>WORKDAY(B83,1,Feriados!$A$1:$A$936)</f>
        <v>45014</v>
      </c>
      <c r="C84" s="4">
        <f t="shared" si="5"/>
        <v>13.65</v>
      </c>
      <c r="D84" s="7">
        <v>0</v>
      </c>
      <c r="E84" s="7">
        <f t="shared" si="6"/>
        <v>13.65</v>
      </c>
      <c r="F84" s="11">
        <f t="shared" si="7"/>
        <v>1042.514535</v>
      </c>
    </row>
    <row r="85" spans="1:6" x14ac:dyDescent="0.4">
      <c r="A85" s="5">
        <f t="shared" si="4"/>
        <v>83</v>
      </c>
      <c r="B85" s="6">
        <f>WORKDAY(B84,1,Feriados!$A$1:$A$936)</f>
        <v>45015</v>
      </c>
      <c r="C85" s="4">
        <f t="shared" si="5"/>
        <v>13.65</v>
      </c>
      <c r="D85" s="7">
        <v>0</v>
      </c>
      <c r="E85" s="7">
        <f t="shared" si="6"/>
        <v>13.65</v>
      </c>
      <c r="F85" s="11">
        <f t="shared" si="7"/>
        <v>1043.0440080000001</v>
      </c>
    </row>
    <row r="86" spans="1:6" x14ac:dyDescent="0.4">
      <c r="A86" s="5">
        <f t="shared" si="4"/>
        <v>84</v>
      </c>
      <c r="B86" s="6">
        <f>WORKDAY(B85,1,Feriados!$A$1:$A$936)</f>
        <v>45016</v>
      </c>
      <c r="C86" s="4">
        <f t="shared" si="5"/>
        <v>13.65</v>
      </c>
      <c r="D86" s="7">
        <v>0</v>
      </c>
      <c r="E86" s="7">
        <f t="shared" si="6"/>
        <v>13.65</v>
      </c>
      <c r="F86" s="11">
        <f t="shared" si="7"/>
        <v>1043.57375</v>
      </c>
    </row>
    <row r="87" spans="1:6" x14ac:dyDescent="0.4">
      <c r="A87" s="63">
        <f t="shared" si="4"/>
        <v>85</v>
      </c>
      <c r="B87" s="64">
        <f>WORKDAY(B86,1,Feriados!$A$1:$A$936)</f>
        <v>45019</v>
      </c>
      <c r="C87" s="65">
        <f t="shared" si="5"/>
        <v>13.65</v>
      </c>
      <c r="D87" s="66">
        <v>0</v>
      </c>
      <c r="E87" s="66">
        <f t="shared" si="6"/>
        <v>13.65</v>
      </c>
      <c r="F87" s="67">
        <f t="shared" si="7"/>
        <v>1044.1037610000001</v>
      </c>
    </row>
    <row r="88" spans="1:6" x14ac:dyDescent="0.4">
      <c r="A88" s="5">
        <f t="shared" si="4"/>
        <v>86</v>
      </c>
      <c r="B88" s="6">
        <f>WORKDAY(B87,1,Feriados!$A$1:$A$936)</f>
        <v>45020</v>
      </c>
      <c r="C88" s="4">
        <f t="shared" si="5"/>
        <v>13.65</v>
      </c>
      <c r="D88" s="7">
        <v>0</v>
      </c>
      <c r="E88" s="7">
        <f t="shared" si="6"/>
        <v>13.65</v>
      </c>
      <c r="F88" s="11">
        <f t="shared" si="7"/>
        <v>1044.634041</v>
      </c>
    </row>
    <row r="89" spans="1:6" x14ac:dyDescent="0.4">
      <c r="A89" s="5">
        <f t="shared" si="4"/>
        <v>87</v>
      </c>
      <c r="B89" s="6">
        <f>WORKDAY(B88,1,Feriados!$A$1:$A$936)</f>
        <v>45021</v>
      </c>
      <c r="C89" s="4">
        <f t="shared" si="5"/>
        <v>13.65</v>
      </c>
      <c r="D89" s="7">
        <v>0</v>
      </c>
      <c r="E89" s="7">
        <f t="shared" si="6"/>
        <v>13.65</v>
      </c>
      <c r="F89" s="11">
        <f t="shared" si="7"/>
        <v>1045.1645900000001</v>
      </c>
    </row>
    <row r="90" spans="1:6" x14ac:dyDescent="0.4">
      <c r="A90" s="5">
        <f t="shared" si="4"/>
        <v>88</v>
      </c>
      <c r="B90" s="6">
        <f>WORKDAY(B89,1,Feriados!$A$1:$A$936)</f>
        <v>45022</v>
      </c>
      <c r="C90" s="4">
        <f t="shared" si="5"/>
        <v>13.65</v>
      </c>
      <c r="D90" s="7">
        <v>0</v>
      </c>
      <c r="E90" s="7">
        <f t="shared" si="6"/>
        <v>13.65</v>
      </c>
      <c r="F90" s="11">
        <f t="shared" si="7"/>
        <v>1045.6954089999999</v>
      </c>
    </row>
    <row r="91" spans="1:6" x14ac:dyDescent="0.4">
      <c r="A91" s="5">
        <f t="shared" si="4"/>
        <v>89</v>
      </c>
      <c r="B91" s="6">
        <f>WORKDAY(B90,1,Feriados!$A$1:$A$936)</f>
        <v>45026</v>
      </c>
      <c r="C91" s="4">
        <f t="shared" si="5"/>
        <v>13.65</v>
      </c>
      <c r="D91" s="7">
        <v>0</v>
      </c>
      <c r="E91" s="7">
        <f t="shared" si="6"/>
        <v>13.65</v>
      </c>
      <c r="F91" s="11">
        <f t="shared" si="7"/>
        <v>1046.2264970000001</v>
      </c>
    </row>
    <row r="92" spans="1:6" x14ac:dyDescent="0.4">
      <c r="A92" s="5">
        <f t="shared" si="4"/>
        <v>90</v>
      </c>
      <c r="B92" s="6">
        <f>WORKDAY(B91,1,Feriados!$A$1:$A$936)</f>
        <v>45027</v>
      </c>
      <c r="C92" s="4">
        <f t="shared" si="5"/>
        <v>13.65</v>
      </c>
      <c r="D92" s="7">
        <v>0</v>
      </c>
      <c r="E92" s="7">
        <f t="shared" si="6"/>
        <v>13.65</v>
      </c>
      <c r="F92" s="11">
        <f t="shared" si="7"/>
        <v>1046.7578550000001</v>
      </c>
    </row>
    <row r="93" spans="1:6" x14ac:dyDescent="0.4">
      <c r="A93" s="5">
        <f t="shared" si="4"/>
        <v>91</v>
      </c>
      <c r="B93" s="6">
        <f>WORKDAY(B92,1,Feriados!$A$1:$A$936)</f>
        <v>45028</v>
      </c>
      <c r="C93" s="4">
        <f t="shared" si="5"/>
        <v>13.65</v>
      </c>
      <c r="D93" s="7">
        <v>0</v>
      </c>
      <c r="E93" s="7">
        <f t="shared" si="6"/>
        <v>13.65</v>
      </c>
      <c r="F93" s="11">
        <f t="shared" si="7"/>
        <v>1047.289483</v>
      </c>
    </row>
    <row r="94" spans="1:6" x14ac:dyDescent="0.4">
      <c r="A94" s="5">
        <f t="shared" si="4"/>
        <v>92</v>
      </c>
      <c r="B94" s="6">
        <f>WORKDAY(B93,1,Feriados!$A$1:$A$936)</f>
        <v>45029</v>
      </c>
      <c r="C94" s="4">
        <f t="shared" si="5"/>
        <v>13.65</v>
      </c>
      <c r="D94" s="7">
        <v>0</v>
      </c>
      <c r="E94" s="7">
        <f t="shared" si="6"/>
        <v>13.65</v>
      </c>
      <c r="F94" s="11">
        <f t="shared" si="7"/>
        <v>1047.821381</v>
      </c>
    </row>
    <row r="95" spans="1:6" x14ac:dyDescent="0.4">
      <c r="A95" s="5">
        <f t="shared" si="4"/>
        <v>93</v>
      </c>
      <c r="B95" s="6">
        <f>WORKDAY(B94,1,Feriados!$A$1:$A$936)</f>
        <v>45030</v>
      </c>
      <c r="C95" s="4">
        <f t="shared" si="5"/>
        <v>13.65</v>
      </c>
      <c r="D95" s="7">
        <v>0</v>
      </c>
      <c r="E95" s="7">
        <f t="shared" si="6"/>
        <v>13.65</v>
      </c>
      <c r="F95" s="11">
        <f t="shared" si="7"/>
        <v>1048.3535489999999</v>
      </c>
    </row>
    <row r="96" spans="1:6" x14ac:dyDescent="0.4">
      <c r="A96" s="5">
        <f t="shared" si="4"/>
        <v>94</v>
      </c>
      <c r="B96" s="6">
        <f>WORKDAY(B95,1,Feriados!$A$1:$A$936)</f>
        <v>45033</v>
      </c>
      <c r="C96" s="4">
        <f t="shared" si="5"/>
        <v>13.65</v>
      </c>
      <c r="D96" s="7">
        <v>0</v>
      </c>
      <c r="E96" s="7">
        <f t="shared" si="6"/>
        <v>13.65</v>
      </c>
      <c r="F96" s="11">
        <f t="shared" si="7"/>
        <v>1048.8859870000001</v>
      </c>
    </row>
    <row r="97" spans="1:6" x14ac:dyDescent="0.4">
      <c r="A97" s="5">
        <f t="shared" si="4"/>
        <v>95</v>
      </c>
      <c r="B97" s="6">
        <f>WORKDAY(B96,1,Feriados!$A$1:$A$936)</f>
        <v>45034</v>
      </c>
      <c r="C97" s="4">
        <f t="shared" si="5"/>
        <v>13.65</v>
      </c>
      <c r="D97" s="7">
        <v>0</v>
      </c>
      <c r="E97" s="7">
        <f t="shared" si="6"/>
        <v>13.65</v>
      </c>
      <c r="F97" s="11">
        <f t="shared" si="7"/>
        <v>1049.418696</v>
      </c>
    </row>
    <row r="98" spans="1:6" x14ac:dyDescent="0.4">
      <c r="A98" s="5">
        <f t="shared" si="4"/>
        <v>96</v>
      </c>
      <c r="B98" s="6">
        <f>WORKDAY(B97,1,Feriados!$A$1:$A$936)</f>
        <v>45035</v>
      </c>
      <c r="C98" s="4">
        <f t="shared" si="5"/>
        <v>13.65</v>
      </c>
      <c r="D98" s="7">
        <v>0</v>
      </c>
      <c r="E98" s="7">
        <f t="shared" si="6"/>
        <v>13.65</v>
      </c>
      <c r="F98" s="11">
        <f t="shared" si="7"/>
        <v>1049.951675</v>
      </c>
    </row>
    <row r="99" spans="1:6" x14ac:dyDescent="0.4">
      <c r="A99" s="5">
        <f t="shared" si="4"/>
        <v>97</v>
      </c>
      <c r="B99" s="6">
        <f>WORKDAY(B98,1,Feriados!$A$1:$A$936)</f>
        <v>45036</v>
      </c>
      <c r="C99" s="4">
        <f t="shared" si="5"/>
        <v>13.65</v>
      </c>
      <c r="D99" s="7">
        <v>0</v>
      </c>
      <c r="E99" s="7">
        <f t="shared" si="6"/>
        <v>13.65</v>
      </c>
      <c r="F99" s="11">
        <f t="shared" si="7"/>
        <v>1050.484925</v>
      </c>
    </row>
    <row r="100" spans="1:6" x14ac:dyDescent="0.4">
      <c r="A100" s="5">
        <f t="shared" si="4"/>
        <v>98</v>
      </c>
      <c r="B100" s="6">
        <f>WORKDAY(B99,1,Feriados!$A$1:$A$936)</f>
        <v>45040</v>
      </c>
      <c r="C100" s="4">
        <f t="shared" si="5"/>
        <v>13.65</v>
      </c>
      <c r="D100" s="7">
        <v>0</v>
      </c>
      <c r="E100" s="7">
        <f t="shared" si="6"/>
        <v>13.65</v>
      </c>
      <c r="F100" s="11">
        <f t="shared" si="7"/>
        <v>1051.018446</v>
      </c>
    </row>
    <row r="101" spans="1:6" x14ac:dyDescent="0.4">
      <c r="A101" s="5">
        <f t="shared" si="4"/>
        <v>99</v>
      </c>
      <c r="B101" s="6">
        <f>WORKDAY(B100,1,Feriados!$A$1:$A$936)</f>
        <v>45041</v>
      </c>
      <c r="C101" s="4">
        <f t="shared" si="5"/>
        <v>13.65</v>
      </c>
      <c r="D101" s="7">
        <v>0</v>
      </c>
      <c r="E101" s="7">
        <f t="shared" si="6"/>
        <v>13.65</v>
      </c>
      <c r="F101" s="11">
        <f t="shared" si="7"/>
        <v>1051.552238</v>
      </c>
    </row>
    <row r="102" spans="1:6" x14ac:dyDescent="0.4">
      <c r="A102" s="5">
        <f t="shared" si="4"/>
        <v>100</v>
      </c>
      <c r="B102" s="6">
        <f>WORKDAY(B101,1,Feriados!$A$1:$A$936)</f>
        <v>45042</v>
      </c>
      <c r="C102" s="4">
        <f t="shared" si="5"/>
        <v>13.65</v>
      </c>
      <c r="D102" s="7">
        <v>0</v>
      </c>
      <c r="E102" s="7">
        <f t="shared" si="6"/>
        <v>13.65</v>
      </c>
      <c r="F102" s="11">
        <f t="shared" si="7"/>
        <v>1052.086301</v>
      </c>
    </row>
    <row r="103" spans="1:6" x14ac:dyDescent="0.4">
      <c r="A103" s="5">
        <f t="shared" si="4"/>
        <v>101</v>
      </c>
      <c r="B103" s="6">
        <f>WORKDAY(B102,1,Feriados!$A$1:$A$936)</f>
        <v>45043</v>
      </c>
      <c r="C103" s="4">
        <f t="shared" si="5"/>
        <v>13.65</v>
      </c>
      <c r="D103" s="7">
        <v>0</v>
      </c>
      <c r="E103" s="7">
        <f t="shared" si="6"/>
        <v>13.65</v>
      </c>
      <c r="F103" s="11">
        <f t="shared" si="7"/>
        <v>1052.620635</v>
      </c>
    </row>
    <row r="104" spans="1:6" x14ac:dyDescent="0.4">
      <c r="A104" s="5">
        <f t="shared" si="4"/>
        <v>102</v>
      </c>
      <c r="B104" s="6">
        <f>WORKDAY(B103,1,Feriados!$A$1:$A$936)</f>
        <v>45044</v>
      </c>
      <c r="C104" s="4">
        <f t="shared" si="5"/>
        <v>13.65</v>
      </c>
      <c r="D104" s="7">
        <v>0</v>
      </c>
      <c r="E104" s="7">
        <f t="shared" si="6"/>
        <v>13.65</v>
      </c>
      <c r="F104" s="11">
        <f t="shared" si="7"/>
        <v>1053.15524</v>
      </c>
    </row>
    <row r="105" spans="1:6" x14ac:dyDescent="0.4">
      <c r="A105" s="5">
        <f t="shared" si="4"/>
        <v>103</v>
      </c>
      <c r="B105" s="6">
        <f>WORKDAY(B104,1,Feriados!$A$1:$A$936)</f>
        <v>45048</v>
      </c>
      <c r="C105" s="4">
        <f t="shared" si="5"/>
        <v>13.65</v>
      </c>
      <c r="D105" s="7">
        <v>0</v>
      </c>
      <c r="E105" s="7">
        <f t="shared" si="6"/>
        <v>13.65</v>
      </c>
      <c r="F105" s="11">
        <f t="shared" si="7"/>
        <v>1053.6901170000001</v>
      </c>
    </row>
    <row r="106" spans="1:6" x14ac:dyDescent="0.4">
      <c r="A106" s="5">
        <f t="shared" si="4"/>
        <v>104</v>
      </c>
      <c r="B106" s="72">
        <f>WORKDAY(B105,1,Feriados!$A$1:$A$936)</f>
        <v>45049</v>
      </c>
      <c r="C106" s="73">
        <f t="shared" si="5"/>
        <v>13.65</v>
      </c>
      <c r="D106" s="74">
        <f>VLOOKUP(B106,$I$10:$J$19,2,FALSE)/100</f>
        <v>-0.5</v>
      </c>
      <c r="E106" s="74">
        <f t="shared" si="6"/>
        <v>13.15</v>
      </c>
      <c r="F106" s="11">
        <f t="shared" si="7"/>
        <v>1054.2252659999999</v>
      </c>
    </row>
    <row r="107" spans="1:6" x14ac:dyDescent="0.4">
      <c r="A107" s="5">
        <f t="shared" si="4"/>
        <v>105</v>
      </c>
      <c r="B107" s="6">
        <f>WORKDAY(B106,1,Feriados!$A$1:$A$936)</f>
        <v>45050</v>
      </c>
      <c r="C107" s="4">
        <f t="shared" si="5"/>
        <v>13.65</v>
      </c>
      <c r="D107" s="7">
        <v>0</v>
      </c>
      <c r="E107" s="7">
        <f t="shared" si="6"/>
        <v>13.15</v>
      </c>
      <c r="F107" s="11">
        <f t="shared" si="7"/>
        <v>1054.7422320000001</v>
      </c>
    </row>
    <row r="108" spans="1:6" x14ac:dyDescent="0.4">
      <c r="A108" s="5">
        <f t="shared" si="4"/>
        <v>106</v>
      </c>
      <c r="B108" s="6">
        <f>WORKDAY(B107,1,Feriados!$A$1:$A$936)</f>
        <v>45051</v>
      </c>
      <c r="C108" s="4">
        <f t="shared" si="5"/>
        <v>13.65</v>
      </c>
      <c r="D108" s="7">
        <v>0</v>
      </c>
      <c r="E108" s="7">
        <f t="shared" si="6"/>
        <v>13.15</v>
      </c>
      <c r="F108" s="11">
        <f t="shared" si="7"/>
        <v>1055.2594509999999</v>
      </c>
    </row>
    <row r="109" spans="1:6" x14ac:dyDescent="0.4">
      <c r="A109" s="5">
        <f t="shared" si="4"/>
        <v>107</v>
      </c>
      <c r="B109" s="6">
        <f>WORKDAY(B108,1,Feriados!$A$1:$A$936)</f>
        <v>45054</v>
      </c>
      <c r="C109" s="4">
        <f t="shared" si="5"/>
        <v>13.65</v>
      </c>
      <c r="D109" s="7">
        <v>0</v>
      </c>
      <c r="E109" s="7">
        <f t="shared" si="6"/>
        <v>13.15</v>
      </c>
      <c r="F109" s="11">
        <f t="shared" si="7"/>
        <v>1055.776924</v>
      </c>
    </row>
    <row r="110" spans="1:6" x14ac:dyDescent="0.4">
      <c r="A110" s="5">
        <f t="shared" si="4"/>
        <v>108</v>
      </c>
      <c r="B110" s="6">
        <f>WORKDAY(B109,1,Feriados!$A$1:$A$936)</f>
        <v>45055</v>
      </c>
      <c r="C110" s="4">
        <f t="shared" si="5"/>
        <v>13.65</v>
      </c>
      <c r="D110" s="7">
        <v>0</v>
      </c>
      <c r="E110" s="7">
        <f t="shared" si="6"/>
        <v>13.15</v>
      </c>
      <c r="F110" s="11">
        <f t="shared" si="7"/>
        <v>1056.2946509999999</v>
      </c>
    </row>
    <row r="111" spans="1:6" x14ac:dyDescent="0.4">
      <c r="A111" s="5">
        <f t="shared" si="4"/>
        <v>109</v>
      </c>
      <c r="B111" s="6">
        <f>WORKDAY(B110,1,Feriados!$A$1:$A$936)</f>
        <v>45056</v>
      </c>
      <c r="C111" s="4">
        <f t="shared" si="5"/>
        <v>13.65</v>
      </c>
      <c r="D111" s="7">
        <v>0</v>
      </c>
      <c r="E111" s="7">
        <f t="shared" si="6"/>
        <v>13.15</v>
      </c>
      <c r="F111" s="11">
        <f t="shared" si="7"/>
        <v>1056.812631</v>
      </c>
    </row>
    <row r="112" spans="1:6" x14ac:dyDescent="0.4">
      <c r="A112" s="5">
        <f t="shared" si="4"/>
        <v>110</v>
      </c>
      <c r="B112" s="6">
        <f>WORKDAY(B111,1,Feriados!$A$1:$A$936)</f>
        <v>45057</v>
      </c>
      <c r="C112" s="4">
        <f t="shared" si="5"/>
        <v>13.65</v>
      </c>
      <c r="D112" s="7">
        <v>0</v>
      </c>
      <c r="E112" s="7">
        <f t="shared" si="6"/>
        <v>13.15</v>
      </c>
      <c r="F112" s="11">
        <f t="shared" si="7"/>
        <v>1057.3308649999999</v>
      </c>
    </row>
    <row r="113" spans="1:6" x14ac:dyDescent="0.4">
      <c r="A113" s="5">
        <f t="shared" si="4"/>
        <v>111</v>
      </c>
      <c r="B113" s="6">
        <f>WORKDAY(B112,1,Feriados!$A$1:$A$936)</f>
        <v>45058</v>
      </c>
      <c r="C113" s="4">
        <f t="shared" si="5"/>
        <v>13.65</v>
      </c>
      <c r="D113" s="7">
        <v>0</v>
      </c>
      <c r="E113" s="7">
        <f t="shared" si="6"/>
        <v>13.15</v>
      </c>
      <c r="F113" s="11">
        <f t="shared" si="7"/>
        <v>1057.8493539999999</v>
      </c>
    </row>
    <row r="114" spans="1:6" x14ac:dyDescent="0.4">
      <c r="A114" s="5">
        <f t="shared" si="4"/>
        <v>112</v>
      </c>
      <c r="B114" s="6">
        <f>WORKDAY(B113,1,Feriados!$A$1:$A$936)</f>
        <v>45061</v>
      </c>
      <c r="C114" s="4">
        <f t="shared" si="5"/>
        <v>13.65</v>
      </c>
      <c r="D114" s="7">
        <v>0</v>
      </c>
      <c r="E114" s="7">
        <f t="shared" si="6"/>
        <v>13.15</v>
      </c>
      <c r="F114" s="11">
        <f t="shared" si="7"/>
        <v>1058.368097</v>
      </c>
    </row>
    <row r="115" spans="1:6" x14ac:dyDescent="0.4">
      <c r="A115" s="5">
        <f t="shared" si="4"/>
        <v>113</v>
      </c>
      <c r="B115" s="6">
        <f>WORKDAY(B114,1,Feriados!$A$1:$A$936)</f>
        <v>45062</v>
      </c>
      <c r="C115" s="4">
        <f t="shared" si="5"/>
        <v>13.65</v>
      </c>
      <c r="D115" s="7">
        <v>0</v>
      </c>
      <c r="E115" s="7">
        <f t="shared" si="6"/>
        <v>13.15</v>
      </c>
      <c r="F115" s="11">
        <f t="shared" si="7"/>
        <v>1058.8870939999999</v>
      </c>
    </row>
    <row r="116" spans="1:6" x14ac:dyDescent="0.4">
      <c r="A116" s="5">
        <f t="shared" si="4"/>
        <v>114</v>
      </c>
      <c r="B116" s="6">
        <f>WORKDAY(B115,1,Feriados!$A$1:$A$936)</f>
        <v>45063</v>
      </c>
      <c r="C116" s="4">
        <f t="shared" si="5"/>
        <v>13.65</v>
      </c>
      <c r="D116" s="7">
        <v>0</v>
      </c>
      <c r="E116" s="7">
        <f t="shared" si="6"/>
        <v>13.15</v>
      </c>
      <c r="F116" s="11">
        <f t="shared" si="7"/>
        <v>1059.406346</v>
      </c>
    </row>
    <row r="117" spans="1:6" x14ac:dyDescent="0.4">
      <c r="A117" s="5">
        <f t="shared" si="4"/>
        <v>115</v>
      </c>
      <c r="B117" s="6">
        <f>WORKDAY(B116,1,Feriados!$A$1:$A$936)</f>
        <v>45064</v>
      </c>
      <c r="C117" s="4">
        <f t="shared" si="5"/>
        <v>13.65</v>
      </c>
      <c r="D117" s="7">
        <v>0</v>
      </c>
      <c r="E117" s="7">
        <f t="shared" si="6"/>
        <v>13.15</v>
      </c>
      <c r="F117" s="11">
        <f t="shared" si="7"/>
        <v>1059.9258520000001</v>
      </c>
    </row>
    <row r="118" spans="1:6" x14ac:dyDescent="0.4">
      <c r="A118" s="5">
        <f t="shared" si="4"/>
        <v>116</v>
      </c>
      <c r="B118" s="6">
        <f>WORKDAY(B117,1,Feriados!$A$1:$A$936)</f>
        <v>45065</v>
      </c>
      <c r="C118" s="4">
        <f t="shared" si="5"/>
        <v>13.65</v>
      </c>
      <c r="D118" s="7">
        <v>0</v>
      </c>
      <c r="E118" s="7">
        <f t="shared" si="6"/>
        <v>13.15</v>
      </c>
      <c r="F118" s="11">
        <f t="shared" si="7"/>
        <v>1060.4456130000001</v>
      </c>
    </row>
    <row r="119" spans="1:6" x14ac:dyDescent="0.4">
      <c r="A119" s="5">
        <f t="shared" si="4"/>
        <v>117</v>
      </c>
      <c r="B119" s="6">
        <f>WORKDAY(B118,1,Feriados!$A$1:$A$936)</f>
        <v>45068</v>
      </c>
      <c r="C119" s="4">
        <f t="shared" si="5"/>
        <v>13.65</v>
      </c>
      <c r="D119" s="7">
        <v>0</v>
      </c>
      <c r="E119" s="7">
        <f t="shared" si="6"/>
        <v>13.15</v>
      </c>
      <c r="F119" s="11">
        <f t="shared" si="7"/>
        <v>1060.965629</v>
      </c>
    </row>
    <row r="120" spans="1:6" x14ac:dyDescent="0.4">
      <c r="A120" s="5">
        <f t="shared" si="4"/>
        <v>118</v>
      </c>
      <c r="B120" s="6">
        <f>WORKDAY(B119,1,Feriados!$A$1:$A$936)</f>
        <v>45069</v>
      </c>
      <c r="C120" s="4">
        <f t="shared" si="5"/>
        <v>13.65</v>
      </c>
      <c r="D120" s="7">
        <v>0</v>
      </c>
      <c r="E120" s="7">
        <f t="shared" si="6"/>
        <v>13.15</v>
      </c>
      <c r="F120" s="11">
        <f t="shared" si="7"/>
        <v>1061.4858999999999</v>
      </c>
    </row>
    <row r="121" spans="1:6" x14ac:dyDescent="0.4">
      <c r="A121" s="5">
        <f t="shared" si="4"/>
        <v>119</v>
      </c>
      <c r="B121" s="6">
        <f>WORKDAY(B120,1,Feriados!$A$1:$A$936)</f>
        <v>45070</v>
      </c>
      <c r="C121" s="4">
        <f t="shared" si="5"/>
        <v>13.65</v>
      </c>
      <c r="D121" s="7">
        <v>0</v>
      </c>
      <c r="E121" s="7">
        <f t="shared" si="6"/>
        <v>13.15</v>
      </c>
      <c r="F121" s="11">
        <f t="shared" si="7"/>
        <v>1062.0064259999999</v>
      </c>
    </row>
    <row r="122" spans="1:6" x14ac:dyDescent="0.4">
      <c r="A122" s="5">
        <f t="shared" si="4"/>
        <v>120</v>
      </c>
      <c r="B122" s="6">
        <f>WORKDAY(B121,1,Feriados!$A$1:$A$936)</f>
        <v>45071</v>
      </c>
      <c r="C122" s="4">
        <f t="shared" si="5"/>
        <v>13.65</v>
      </c>
      <c r="D122" s="7">
        <v>0</v>
      </c>
      <c r="E122" s="7">
        <f t="shared" si="6"/>
        <v>13.15</v>
      </c>
      <c r="F122" s="11">
        <f t="shared" si="7"/>
        <v>1062.5272070000001</v>
      </c>
    </row>
    <row r="123" spans="1:6" x14ac:dyDescent="0.4">
      <c r="A123" s="5">
        <f t="shared" si="4"/>
        <v>121</v>
      </c>
      <c r="B123" s="6">
        <f>WORKDAY(B122,1,Feriados!$A$1:$A$936)</f>
        <v>45072</v>
      </c>
      <c r="C123" s="4">
        <f t="shared" si="5"/>
        <v>13.65</v>
      </c>
      <c r="D123" s="7">
        <v>0</v>
      </c>
      <c r="E123" s="7">
        <f t="shared" si="6"/>
        <v>13.15</v>
      </c>
      <c r="F123" s="11">
        <f t="shared" si="7"/>
        <v>1063.0482440000001</v>
      </c>
    </row>
    <row r="124" spans="1:6" x14ac:dyDescent="0.4">
      <c r="A124" s="5">
        <f t="shared" si="4"/>
        <v>122</v>
      </c>
      <c r="B124" s="6">
        <f>WORKDAY(B123,1,Feriados!$A$1:$A$936)</f>
        <v>45075</v>
      </c>
      <c r="C124" s="4">
        <f t="shared" si="5"/>
        <v>13.65</v>
      </c>
      <c r="D124" s="7">
        <v>0</v>
      </c>
      <c r="E124" s="7">
        <f t="shared" si="6"/>
        <v>13.15</v>
      </c>
      <c r="F124" s="11">
        <f t="shared" si="7"/>
        <v>1063.569536</v>
      </c>
    </row>
    <row r="125" spans="1:6" x14ac:dyDescent="0.4">
      <c r="A125" s="5">
        <f t="shared" si="4"/>
        <v>123</v>
      </c>
      <c r="B125" s="6">
        <f>WORKDAY(B124,1,Feriados!$A$1:$A$936)</f>
        <v>45076</v>
      </c>
      <c r="C125" s="4">
        <f t="shared" si="5"/>
        <v>13.65</v>
      </c>
      <c r="D125" s="7">
        <v>0</v>
      </c>
      <c r="E125" s="7">
        <f t="shared" si="6"/>
        <v>13.15</v>
      </c>
      <c r="F125" s="11">
        <f t="shared" si="7"/>
        <v>1064.0910839999999</v>
      </c>
    </row>
    <row r="126" spans="1:6" x14ac:dyDescent="0.4">
      <c r="A126" s="5">
        <f t="shared" si="4"/>
        <v>124</v>
      </c>
      <c r="B126" s="6">
        <f>WORKDAY(B125,1,Feriados!$A$1:$A$936)</f>
        <v>45077</v>
      </c>
      <c r="C126" s="4">
        <f t="shared" si="5"/>
        <v>13.65</v>
      </c>
      <c r="D126" s="7">
        <v>0</v>
      </c>
      <c r="E126" s="7">
        <f t="shared" si="6"/>
        <v>13.15</v>
      </c>
      <c r="F126" s="11">
        <f t="shared" si="7"/>
        <v>1064.6128880000001</v>
      </c>
    </row>
    <row r="127" spans="1:6" x14ac:dyDescent="0.4">
      <c r="A127" s="5">
        <f t="shared" si="4"/>
        <v>125</v>
      </c>
      <c r="B127" s="6">
        <f>WORKDAY(B126,1,Feriados!$A$1:$A$936)</f>
        <v>45078</v>
      </c>
      <c r="C127" s="4">
        <f t="shared" si="5"/>
        <v>13.65</v>
      </c>
      <c r="D127" s="7">
        <v>0</v>
      </c>
      <c r="E127" s="7">
        <f t="shared" si="6"/>
        <v>13.15</v>
      </c>
      <c r="F127" s="11">
        <f t="shared" si="7"/>
        <v>1065.134947</v>
      </c>
    </row>
    <row r="128" spans="1:6" x14ac:dyDescent="0.4">
      <c r="A128" s="5">
        <f t="shared" si="4"/>
        <v>126</v>
      </c>
      <c r="B128" s="6">
        <f>WORKDAY(B127,1,Feriados!$A$1:$A$936)</f>
        <v>45079</v>
      </c>
      <c r="C128" s="4">
        <f t="shared" si="5"/>
        <v>13.65</v>
      </c>
      <c r="D128" s="7">
        <v>0</v>
      </c>
      <c r="E128" s="7">
        <f t="shared" si="6"/>
        <v>13.15</v>
      </c>
      <c r="F128" s="11">
        <f t="shared" si="7"/>
        <v>1065.6572619999999</v>
      </c>
    </row>
    <row r="129" spans="1:6" x14ac:dyDescent="0.4">
      <c r="A129" s="5">
        <f t="shared" si="4"/>
        <v>127</v>
      </c>
      <c r="B129" s="6">
        <f>WORKDAY(B128,1,Feriados!$A$1:$A$936)</f>
        <v>45082</v>
      </c>
      <c r="C129" s="4">
        <f t="shared" si="5"/>
        <v>13.65</v>
      </c>
      <c r="D129" s="7">
        <v>0</v>
      </c>
      <c r="E129" s="7">
        <f t="shared" si="6"/>
        <v>13.15</v>
      </c>
      <c r="F129" s="11">
        <f t="shared" si="7"/>
        <v>1066.179834</v>
      </c>
    </row>
    <row r="130" spans="1:6" x14ac:dyDescent="0.4">
      <c r="A130" s="5">
        <f t="shared" si="4"/>
        <v>128</v>
      </c>
      <c r="B130" s="6">
        <f>WORKDAY(B129,1,Feriados!$A$1:$A$936)</f>
        <v>45083</v>
      </c>
      <c r="C130" s="4">
        <f t="shared" si="5"/>
        <v>13.65</v>
      </c>
      <c r="D130" s="7">
        <v>0</v>
      </c>
      <c r="E130" s="7">
        <f t="shared" si="6"/>
        <v>13.15</v>
      </c>
      <c r="F130" s="11">
        <f t="shared" si="7"/>
        <v>1066.7026619999999</v>
      </c>
    </row>
    <row r="131" spans="1:6" x14ac:dyDescent="0.4">
      <c r="A131" s="5">
        <f t="shared" si="4"/>
        <v>129</v>
      </c>
      <c r="B131" s="6">
        <f>WORKDAY(B130,1,Feriados!$A$1:$A$936)</f>
        <v>45084</v>
      </c>
      <c r="C131" s="4">
        <f t="shared" si="5"/>
        <v>13.65</v>
      </c>
      <c r="D131" s="7">
        <v>0</v>
      </c>
      <c r="E131" s="7">
        <f t="shared" si="6"/>
        <v>13.15</v>
      </c>
      <c r="F131" s="11">
        <f t="shared" si="7"/>
        <v>1067.2257460000001</v>
      </c>
    </row>
    <row r="132" spans="1:6" x14ac:dyDescent="0.4">
      <c r="A132" s="5">
        <f t="shared" ref="A132:A137" si="8">+A131+1</f>
        <v>130</v>
      </c>
      <c r="B132" s="6">
        <f>WORKDAY(B131,1,Feriados!$A$1:$A$936)</f>
        <v>45086</v>
      </c>
      <c r="C132" s="4">
        <f t="shared" ref="C132:C195" si="9">+C131</f>
        <v>13.65</v>
      </c>
      <c r="D132" s="7">
        <v>0</v>
      </c>
      <c r="E132" s="7">
        <f t="shared" ref="E132:E195" si="10">+E131+D132</f>
        <v>13.15</v>
      </c>
      <c r="F132" s="11">
        <f t="shared" ref="F132:F195" si="11">+ROUND(((1+E131/100)^(1/252))*F131,6)</f>
        <v>1067.7490869999999</v>
      </c>
    </row>
    <row r="133" spans="1:6" x14ac:dyDescent="0.4">
      <c r="A133" s="5">
        <f t="shared" si="8"/>
        <v>131</v>
      </c>
      <c r="B133" s="6">
        <f>WORKDAY(B132,1,Feriados!$A$1:$A$936)</f>
        <v>45089</v>
      </c>
      <c r="C133" s="4">
        <f t="shared" si="9"/>
        <v>13.65</v>
      </c>
      <c r="D133" s="7">
        <v>0</v>
      </c>
      <c r="E133" s="7">
        <f t="shared" si="10"/>
        <v>13.15</v>
      </c>
      <c r="F133" s="11">
        <f t="shared" si="11"/>
        <v>1068.272684</v>
      </c>
    </row>
    <row r="134" spans="1:6" x14ac:dyDescent="0.4">
      <c r="A134" s="5">
        <f t="shared" si="8"/>
        <v>132</v>
      </c>
      <c r="B134" s="6">
        <f>WORKDAY(B133,1,Feriados!$A$1:$A$936)</f>
        <v>45090</v>
      </c>
      <c r="C134" s="4">
        <f t="shared" si="9"/>
        <v>13.65</v>
      </c>
      <c r="D134" s="7">
        <v>0</v>
      </c>
      <c r="E134" s="7">
        <f t="shared" si="10"/>
        <v>13.15</v>
      </c>
      <c r="F134" s="11">
        <f t="shared" si="11"/>
        <v>1068.7965380000001</v>
      </c>
    </row>
    <row r="135" spans="1:6" x14ac:dyDescent="0.4">
      <c r="A135" s="5">
        <f t="shared" si="8"/>
        <v>133</v>
      </c>
      <c r="B135" s="72">
        <f>WORKDAY(B134,1,Feriados!$A$1:$A$936)</f>
        <v>45091</v>
      </c>
      <c r="C135" s="73">
        <f t="shared" si="9"/>
        <v>13.65</v>
      </c>
      <c r="D135" s="74">
        <f>VLOOKUP(B135,$I$10:$J$19,2,FALSE)/100</f>
        <v>-0.5</v>
      </c>
      <c r="E135" s="74">
        <f t="shared" si="10"/>
        <v>12.65</v>
      </c>
      <c r="F135" s="11">
        <f t="shared" si="11"/>
        <v>1069.320649</v>
      </c>
    </row>
    <row r="136" spans="1:6" x14ac:dyDescent="0.4">
      <c r="A136" s="5">
        <f t="shared" si="8"/>
        <v>134</v>
      </c>
      <c r="B136" s="6">
        <f>WORKDAY(B135,1,Feriados!$A$1:$A$936)</f>
        <v>45092</v>
      </c>
      <c r="C136" s="4">
        <f t="shared" si="9"/>
        <v>13.65</v>
      </c>
      <c r="D136" s="7">
        <v>0</v>
      </c>
      <c r="E136" s="7">
        <f t="shared" si="10"/>
        <v>12.65</v>
      </c>
      <c r="F136" s="11">
        <f t="shared" si="11"/>
        <v>1069.826215</v>
      </c>
    </row>
    <row r="137" spans="1:6" x14ac:dyDescent="0.4">
      <c r="A137" s="5">
        <f t="shared" si="8"/>
        <v>135</v>
      </c>
      <c r="B137" s="6">
        <f>WORKDAY(B136,1,Feriados!$A$1:$A$936)</f>
        <v>45093</v>
      </c>
      <c r="C137" s="4">
        <f t="shared" si="9"/>
        <v>13.65</v>
      </c>
      <c r="D137" s="7">
        <v>0</v>
      </c>
      <c r="E137" s="7">
        <f t="shared" si="10"/>
        <v>12.65</v>
      </c>
      <c r="F137" s="11">
        <f t="shared" si="11"/>
        <v>1070.3320209999999</v>
      </c>
    </row>
    <row r="138" spans="1:6" x14ac:dyDescent="0.4">
      <c r="A138" s="5">
        <f>+A137+1</f>
        <v>136</v>
      </c>
      <c r="B138" s="6">
        <f>WORKDAY(B137,1,Feriados!$A$1:$A$936)</f>
        <v>45096</v>
      </c>
      <c r="C138" s="4">
        <f t="shared" si="9"/>
        <v>13.65</v>
      </c>
      <c r="D138" s="7">
        <v>0</v>
      </c>
      <c r="E138" s="7">
        <f t="shared" si="10"/>
        <v>12.65</v>
      </c>
      <c r="F138" s="11">
        <f t="shared" si="11"/>
        <v>1070.838066</v>
      </c>
    </row>
    <row r="139" spans="1:6" x14ac:dyDescent="0.4">
      <c r="A139" s="5">
        <f t="shared" ref="A139:A202" si="12">+A138+1</f>
        <v>137</v>
      </c>
      <c r="B139" s="6">
        <f>WORKDAY(B138,1,Feriados!$A$1:$A$936)</f>
        <v>45097</v>
      </c>
      <c r="C139" s="4">
        <f t="shared" si="9"/>
        <v>13.65</v>
      </c>
      <c r="D139" s="7">
        <v>0</v>
      </c>
      <c r="E139" s="7">
        <f t="shared" si="10"/>
        <v>12.65</v>
      </c>
      <c r="F139" s="11">
        <f t="shared" si="11"/>
        <v>1071.3443500000001</v>
      </c>
    </row>
    <row r="140" spans="1:6" x14ac:dyDescent="0.4">
      <c r="A140" s="5">
        <f t="shared" si="12"/>
        <v>138</v>
      </c>
      <c r="B140" s="6">
        <f>WORKDAY(B139,1,Feriados!$A$1:$A$936)</f>
        <v>45098</v>
      </c>
      <c r="C140" s="4">
        <f t="shared" si="9"/>
        <v>13.65</v>
      </c>
      <c r="D140" s="7">
        <v>0</v>
      </c>
      <c r="E140" s="7">
        <f t="shared" si="10"/>
        <v>12.65</v>
      </c>
      <c r="F140" s="11">
        <f t="shared" si="11"/>
        <v>1071.8508730000001</v>
      </c>
    </row>
    <row r="141" spans="1:6" x14ac:dyDescent="0.4">
      <c r="A141" s="5">
        <f t="shared" si="12"/>
        <v>139</v>
      </c>
      <c r="B141" s="6">
        <f>WORKDAY(B140,1,Feriados!$A$1:$A$936)</f>
        <v>45099</v>
      </c>
      <c r="C141" s="4">
        <f t="shared" si="9"/>
        <v>13.65</v>
      </c>
      <c r="D141" s="7">
        <v>0</v>
      </c>
      <c r="E141" s="7">
        <f t="shared" si="10"/>
        <v>12.65</v>
      </c>
      <c r="F141" s="11">
        <f t="shared" si="11"/>
        <v>1072.357636</v>
      </c>
    </row>
    <row r="142" spans="1:6" x14ac:dyDescent="0.4">
      <c r="A142" s="5">
        <f t="shared" si="12"/>
        <v>140</v>
      </c>
      <c r="B142" s="6">
        <f>WORKDAY(B141,1,Feriados!$A$1:$A$936)</f>
        <v>45100</v>
      </c>
      <c r="C142" s="4">
        <f t="shared" si="9"/>
        <v>13.65</v>
      </c>
      <c r="D142" s="7">
        <v>0</v>
      </c>
      <c r="E142" s="7">
        <f t="shared" si="10"/>
        <v>12.65</v>
      </c>
      <c r="F142" s="11">
        <f t="shared" si="11"/>
        <v>1072.864638</v>
      </c>
    </row>
    <row r="143" spans="1:6" x14ac:dyDescent="0.4">
      <c r="A143" s="5">
        <f t="shared" si="12"/>
        <v>141</v>
      </c>
      <c r="B143" s="6">
        <f>WORKDAY(B142,1,Feriados!$A$1:$A$936)</f>
        <v>45103</v>
      </c>
      <c r="C143" s="4">
        <f t="shared" si="9"/>
        <v>13.65</v>
      </c>
      <c r="D143" s="7">
        <v>0</v>
      </c>
      <c r="E143" s="7">
        <f t="shared" si="10"/>
        <v>12.65</v>
      </c>
      <c r="F143" s="11">
        <f t="shared" si="11"/>
        <v>1073.3718799999999</v>
      </c>
    </row>
    <row r="144" spans="1:6" x14ac:dyDescent="0.4">
      <c r="A144" s="5">
        <f t="shared" si="12"/>
        <v>142</v>
      </c>
      <c r="B144" s="6">
        <f>WORKDAY(B143,1,Feriados!$A$1:$A$936)</f>
        <v>45104</v>
      </c>
      <c r="C144" s="4">
        <f t="shared" si="9"/>
        <v>13.65</v>
      </c>
      <c r="D144" s="7">
        <v>0</v>
      </c>
      <c r="E144" s="7">
        <f t="shared" si="10"/>
        <v>12.65</v>
      </c>
      <c r="F144" s="11">
        <f t="shared" si="11"/>
        <v>1073.8793619999999</v>
      </c>
    </row>
    <row r="145" spans="1:6" x14ac:dyDescent="0.4">
      <c r="A145" s="5">
        <f t="shared" si="12"/>
        <v>143</v>
      </c>
      <c r="B145" s="6">
        <f>WORKDAY(B144,1,Feriados!$A$1:$A$936)</f>
        <v>45105</v>
      </c>
      <c r="C145" s="4">
        <f t="shared" si="9"/>
        <v>13.65</v>
      </c>
      <c r="D145" s="7">
        <v>0</v>
      </c>
      <c r="E145" s="7">
        <f t="shared" si="10"/>
        <v>12.65</v>
      </c>
      <c r="F145" s="11">
        <f t="shared" si="11"/>
        <v>1074.387084</v>
      </c>
    </row>
    <row r="146" spans="1:6" x14ac:dyDescent="0.4">
      <c r="A146" s="5">
        <f t="shared" si="12"/>
        <v>144</v>
      </c>
      <c r="B146" s="6">
        <f>WORKDAY(B145,1,Feriados!$A$1:$A$936)</f>
        <v>45106</v>
      </c>
      <c r="C146" s="4">
        <f t="shared" si="9"/>
        <v>13.65</v>
      </c>
      <c r="D146" s="7">
        <v>0</v>
      </c>
      <c r="E146" s="7">
        <f t="shared" si="10"/>
        <v>12.65</v>
      </c>
      <c r="F146" s="11">
        <f t="shared" si="11"/>
        <v>1074.8950460000001</v>
      </c>
    </row>
    <row r="147" spans="1:6" x14ac:dyDescent="0.4">
      <c r="A147" s="5">
        <f t="shared" si="12"/>
        <v>145</v>
      </c>
      <c r="B147" s="6">
        <f>WORKDAY(B146,1,Feriados!$A$1:$A$936)</f>
        <v>45107</v>
      </c>
      <c r="C147" s="4">
        <f t="shared" si="9"/>
        <v>13.65</v>
      </c>
      <c r="D147" s="7">
        <v>0</v>
      </c>
      <c r="E147" s="7">
        <f t="shared" si="10"/>
        <v>12.65</v>
      </c>
      <c r="F147" s="11">
        <f t="shared" si="11"/>
        <v>1075.4032480000001</v>
      </c>
    </row>
    <row r="148" spans="1:6" x14ac:dyDescent="0.4">
      <c r="A148" s="63">
        <f t="shared" si="12"/>
        <v>146</v>
      </c>
      <c r="B148" s="64">
        <f>WORKDAY(B147,1,Feriados!$A$1:$A$936)</f>
        <v>45110</v>
      </c>
      <c r="C148" s="65">
        <f t="shared" si="9"/>
        <v>13.65</v>
      </c>
      <c r="D148" s="66">
        <v>0</v>
      </c>
      <c r="E148" s="66">
        <f t="shared" si="10"/>
        <v>12.65</v>
      </c>
      <c r="F148" s="67">
        <f t="shared" si="11"/>
        <v>1075.9116899999999</v>
      </c>
    </row>
    <row r="149" spans="1:6" x14ac:dyDescent="0.4">
      <c r="A149" s="5">
        <f t="shared" si="12"/>
        <v>147</v>
      </c>
      <c r="B149" s="6">
        <f>WORKDAY(B148,1,Feriados!$A$1:$A$936)</f>
        <v>45111</v>
      </c>
      <c r="C149" s="4">
        <f t="shared" si="9"/>
        <v>13.65</v>
      </c>
      <c r="D149" s="7">
        <v>0</v>
      </c>
      <c r="E149" s="7">
        <f t="shared" si="10"/>
        <v>12.65</v>
      </c>
      <c r="F149" s="11">
        <f t="shared" si="11"/>
        <v>1076.4203729999999</v>
      </c>
    </row>
    <row r="150" spans="1:6" x14ac:dyDescent="0.4">
      <c r="A150" s="5">
        <f t="shared" si="12"/>
        <v>148</v>
      </c>
      <c r="B150" s="6">
        <f>WORKDAY(B149,1,Feriados!$A$1:$A$936)</f>
        <v>45112</v>
      </c>
      <c r="C150" s="4">
        <f t="shared" si="9"/>
        <v>13.65</v>
      </c>
      <c r="D150" s="7">
        <v>0</v>
      </c>
      <c r="E150" s="7">
        <f t="shared" si="10"/>
        <v>12.65</v>
      </c>
      <c r="F150" s="11">
        <f t="shared" si="11"/>
        <v>1076.929296</v>
      </c>
    </row>
    <row r="151" spans="1:6" x14ac:dyDescent="0.4">
      <c r="A151" s="5">
        <f t="shared" si="12"/>
        <v>149</v>
      </c>
      <c r="B151" s="6">
        <f>WORKDAY(B150,1,Feriados!$A$1:$A$936)</f>
        <v>45113</v>
      </c>
      <c r="C151" s="4">
        <f t="shared" si="9"/>
        <v>13.65</v>
      </c>
      <c r="D151" s="7">
        <v>0</v>
      </c>
      <c r="E151" s="7">
        <f t="shared" si="10"/>
        <v>12.65</v>
      </c>
      <c r="F151" s="11">
        <f t="shared" si="11"/>
        <v>1077.4384600000001</v>
      </c>
    </row>
    <row r="152" spans="1:6" x14ac:dyDescent="0.4">
      <c r="A152" s="5">
        <f t="shared" si="12"/>
        <v>150</v>
      </c>
      <c r="B152" s="6">
        <f>WORKDAY(B151,1,Feriados!$A$1:$A$936)</f>
        <v>45114</v>
      </c>
      <c r="C152" s="4">
        <f t="shared" si="9"/>
        <v>13.65</v>
      </c>
      <c r="D152" s="7">
        <v>0</v>
      </c>
      <c r="E152" s="7">
        <f t="shared" si="10"/>
        <v>12.65</v>
      </c>
      <c r="F152" s="11">
        <f t="shared" si="11"/>
        <v>1077.9478650000001</v>
      </c>
    </row>
    <row r="153" spans="1:6" x14ac:dyDescent="0.4">
      <c r="A153" s="5">
        <f t="shared" si="12"/>
        <v>151</v>
      </c>
      <c r="B153" s="6">
        <f>WORKDAY(B152,1,Feriados!$A$1:$A$936)</f>
        <v>45117</v>
      </c>
      <c r="C153" s="4">
        <f t="shared" si="9"/>
        <v>13.65</v>
      </c>
      <c r="D153" s="7">
        <v>0</v>
      </c>
      <c r="E153" s="7">
        <f t="shared" si="10"/>
        <v>12.65</v>
      </c>
      <c r="F153" s="11">
        <f t="shared" si="11"/>
        <v>1078.45751</v>
      </c>
    </row>
    <row r="154" spans="1:6" x14ac:dyDescent="0.4">
      <c r="A154" s="5">
        <f t="shared" si="12"/>
        <v>152</v>
      </c>
      <c r="B154" s="6">
        <f>WORKDAY(B153,1,Feriados!$A$1:$A$936)</f>
        <v>45118</v>
      </c>
      <c r="C154" s="4">
        <f t="shared" si="9"/>
        <v>13.65</v>
      </c>
      <c r="D154" s="7">
        <v>0</v>
      </c>
      <c r="E154" s="7">
        <f t="shared" si="10"/>
        <v>12.65</v>
      </c>
      <c r="F154" s="11">
        <f t="shared" si="11"/>
        <v>1078.967396</v>
      </c>
    </row>
    <row r="155" spans="1:6" x14ac:dyDescent="0.4">
      <c r="A155" s="5">
        <f t="shared" si="12"/>
        <v>153</v>
      </c>
      <c r="B155" s="6">
        <f>WORKDAY(B154,1,Feriados!$A$1:$A$936)</f>
        <v>45119</v>
      </c>
      <c r="C155" s="4">
        <f t="shared" si="9"/>
        <v>13.65</v>
      </c>
      <c r="D155" s="7">
        <v>0</v>
      </c>
      <c r="E155" s="7">
        <f t="shared" si="10"/>
        <v>12.65</v>
      </c>
      <c r="F155" s="11">
        <f t="shared" si="11"/>
        <v>1079.477523</v>
      </c>
    </row>
    <row r="156" spans="1:6" x14ac:dyDescent="0.4">
      <c r="A156" s="5">
        <f t="shared" si="12"/>
        <v>154</v>
      </c>
      <c r="B156" s="6">
        <f>WORKDAY(B155,1,Feriados!$A$1:$A$936)</f>
        <v>45120</v>
      </c>
      <c r="C156" s="4">
        <f t="shared" si="9"/>
        <v>13.65</v>
      </c>
      <c r="D156" s="7">
        <v>0</v>
      </c>
      <c r="E156" s="7">
        <f t="shared" si="10"/>
        <v>12.65</v>
      </c>
      <c r="F156" s="11">
        <f t="shared" si="11"/>
        <v>1079.9878920000001</v>
      </c>
    </row>
    <row r="157" spans="1:6" x14ac:dyDescent="0.4">
      <c r="A157" s="5">
        <f t="shared" si="12"/>
        <v>155</v>
      </c>
      <c r="B157" s="6">
        <f>WORKDAY(B156,1,Feriados!$A$1:$A$936)</f>
        <v>45121</v>
      </c>
      <c r="C157" s="4">
        <f t="shared" si="9"/>
        <v>13.65</v>
      </c>
      <c r="D157" s="7">
        <v>0</v>
      </c>
      <c r="E157" s="7">
        <f t="shared" si="10"/>
        <v>12.65</v>
      </c>
      <c r="F157" s="11">
        <f t="shared" si="11"/>
        <v>1080.4985019999999</v>
      </c>
    </row>
    <row r="158" spans="1:6" x14ac:dyDescent="0.4">
      <c r="A158" s="5">
        <f t="shared" si="12"/>
        <v>156</v>
      </c>
      <c r="B158" s="6">
        <f>WORKDAY(B157,1,Feriados!$A$1:$A$936)</f>
        <v>45124</v>
      </c>
      <c r="C158" s="4">
        <f t="shared" si="9"/>
        <v>13.65</v>
      </c>
      <c r="D158" s="7">
        <v>0</v>
      </c>
      <c r="E158" s="7">
        <f t="shared" si="10"/>
        <v>12.65</v>
      </c>
      <c r="F158" s="11">
        <f t="shared" si="11"/>
        <v>1081.0093529999999</v>
      </c>
    </row>
    <row r="159" spans="1:6" x14ac:dyDescent="0.4">
      <c r="A159" s="5">
        <f t="shared" si="12"/>
        <v>157</v>
      </c>
      <c r="B159" s="6">
        <f>WORKDAY(B158,1,Feriados!$A$1:$A$936)</f>
        <v>45125</v>
      </c>
      <c r="C159" s="4">
        <f t="shared" si="9"/>
        <v>13.65</v>
      </c>
      <c r="D159" s="7">
        <v>0</v>
      </c>
      <c r="E159" s="7">
        <f t="shared" si="10"/>
        <v>12.65</v>
      </c>
      <c r="F159" s="11">
        <f t="shared" si="11"/>
        <v>1081.520446</v>
      </c>
    </row>
    <row r="160" spans="1:6" x14ac:dyDescent="0.4">
      <c r="A160" s="5">
        <f t="shared" si="12"/>
        <v>158</v>
      </c>
      <c r="B160" s="6">
        <f>WORKDAY(B159,1,Feriados!$A$1:$A$936)</f>
        <v>45126</v>
      </c>
      <c r="C160" s="4">
        <f t="shared" si="9"/>
        <v>13.65</v>
      </c>
      <c r="D160" s="7">
        <v>0</v>
      </c>
      <c r="E160" s="7">
        <f t="shared" si="10"/>
        <v>12.65</v>
      </c>
      <c r="F160" s="11">
        <f t="shared" si="11"/>
        <v>1082.03178</v>
      </c>
    </row>
    <row r="161" spans="1:6" x14ac:dyDescent="0.4">
      <c r="A161" s="5">
        <f t="shared" si="12"/>
        <v>159</v>
      </c>
      <c r="B161" s="6">
        <f>WORKDAY(B160,1,Feriados!$A$1:$A$936)</f>
        <v>45127</v>
      </c>
      <c r="C161" s="4">
        <f t="shared" si="9"/>
        <v>13.65</v>
      </c>
      <c r="D161" s="7">
        <v>0</v>
      </c>
      <c r="E161" s="7">
        <f t="shared" si="10"/>
        <v>12.65</v>
      </c>
      <c r="F161" s="11">
        <f t="shared" si="11"/>
        <v>1082.5433559999999</v>
      </c>
    </row>
    <row r="162" spans="1:6" x14ac:dyDescent="0.4">
      <c r="A162" s="5">
        <f t="shared" si="12"/>
        <v>160</v>
      </c>
      <c r="B162" s="6">
        <f>WORKDAY(B161,1,Feriados!$A$1:$A$936)</f>
        <v>45128</v>
      </c>
      <c r="C162" s="4">
        <f t="shared" si="9"/>
        <v>13.65</v>
      </c>
      <c r="D162" s="7">
        <v>0</v>
      </c>
      <c r="E162" s="7">
        <f t="shared" si="10"/>
        <v>12.65</v>
      </c>
      <c r="F162" s="11">
        <f t="shared" si="11"/>
        <v>1083.0551740000001</v>
      </c>
    </row>
    <row r="163" spans="1:6" x14ac:dyDescent="0.4">
      <c r="A163" s="5">
        <f t="shared" si="12"/>
        <v>161</v>
      </c>
      <c r="B163" s="6">
        <f>WORKDAY(B162,1,Feriados!$A$1:$A$936)</f>
        <v>45131</v>
      </c>
      <c r="C163" s="4">
        <f t="shared" si="9"/>
        <v>13.65</v>
      </c>
      <c r="D163" s="7">
        <v>0</v>
      </c>
      <c r="E163" s="7">
        <f t="shared" si="10"/>
        <v>12.65</v>
      </c>
      <c r="F163" s="11">
        <f t="shared" si="11"/>
        <v>1083.5672340000001</v>
      </c>
    </row>
    <row r="164" spans="1:6" x14ac:dyDescent="0.4">
      <c r="A164" s="5">
        <f t="shared" si="12"/>
        <v>162</v>
      </c>
      <c r="B164" s="6">
        <f>WORKDAY(B163,1,Feriados!$A$1:$A$936)</f>
        <v>45132</v>
      </c>
      <c r="C164" s="4">
        <f t="shared" si="9"/>
        <v>13.65</v>
      </c>
      <c r="D164" s="7">
        <v>0</v>
      </c>
      <c r="E164" s="7">
        <f t="shared" si="10"/>
        <v>12.65</v>
      </c>
      <c r="F164" s="11">
        <f t="shared" si="11"/>
        <v>1084.079536</v>
      </c>
    </row>
    <row r="165" spans="1:6" x14ac:dyDescent="0.4">
      <c r="A165" s="5">
        <f t="shared" si="12"/>
        <v>163</v>
      </c>
      <c r="B165" s="6">
        <f>WORKDAY(B164,1,Feriados!$A$1:$A$936)</f>
        <v>45133</v>
      </c>
      <c r="C165" s="4">
        <f t="shared" si="9"/>
        <v>13.65</v>
      </c>
      <c r="D165" s="7">
        <v>0</v>
      </c>
      <c r="E165" s="7">
        <f t="shared" si="10"/>
        <v>12.65</v>
      </c>
      <c r="F165" s="11">
        <f t="shared" si="11"/>
        <v>1084.5920799999999</v>
      </c>
    </row>
    <row r="166" spans="1:6" x14ac:dyDescent="0.4">
      <c r="A166" s="5">
        <f t="shared" si="12"/>
        <v>164</v>
      </c>
      <c r="B166" s="6">
        <f>WORKDAY(B165,1,Feriados!$A$1:$A$936)</f>
        <v>45134</v>
      </c>
      <c r="C166" s="4">
        <f t="shared" si="9"/>
        <v>13.65</v>
      </c>
      <c r="D166" s="7">
        <v>0</v>
      </c>
      <c r="E166" s="7">
        <f t="shared" si="10"/>
        <v>12.65</v>
      </c>
      <c r="F166" s="11">
        <f t="shared" si="11"/>
        <v>1085.104867</v>
      </c>
    </row>
    <row r="167" spans="1:6" x14ac:dyDescent="0.4">
      <c r="A167" s="5">
        <f t="shared" si="12"/>
        <v>165</v>
      </c>
      <c r="B167" s="6">
        <f>WORKDAY(B166,1,Feriados!$A$1:$A$936)</f>
        <v>45135</v>
      </c>
      <c r="C167" s="4">
        <f t="shared" si="9"/>
        <v>13.65</v>
      </c>
      <c r="D167" s="7">
        <v>0</v>
      </c>
      <c r="E167" s="7">
        <f t="shared" si="10"/>
        <v>12.65</v>
      </c>
      <c r="F167" s="11">
        <f t="shared" si="11"/>
        <v>1085.617896</v>
      </c>
    </row>
    <row r="168" spans="1:6" x14ac:dyDescent="0.4">
      <c r="A168" s="5">
        <f t="shared" si="12"/>
        <v>166</v>
      </c>
      <c r="B168" s="6">
        <f>WORKDAY(B167,1,Feriados!$A$1:$A$936)</f>
        <v>45138</v>
      </c>
      <c r="C168" s="4">
        <f t="shared" si="9"/>
        <v>13.65</v>
      </c>
      <c r="D168" s="7">
        <v>0</v>
      </c>
      <c r="E168" s="7">
        <f t="shared" si="10"/>
        <v>12.65</v>
      </c>
      <c r="F168" s="11">
        <f t="shared" si="11"/>
        <v>1086.1311679999999</v>
      </c>
    </row>
    <row r="169" spans="1:6" x14ac:dyDescent="0.4">
      <c r="A169" s="5">
        <f t="shared" si="12"/>
        <v>167</v>
      </c>
      <c r="B169" s="6">
        <f>WORKDAY(B168,1,Feriados!$A$1:$A$936)</f>
        <v>45139</v>
      </c>
      <c r="C169" s="4">
        <f t="shared" si="9"/>
        <v>13.65</v>
      </c>
      <c r="D169" s="7">
        <v>0</v>
      </c>
      <c r="E169" s="7">
        <f t="shared" si="10"/>
        <v>12.65</v>
      </c>
      <c r="F169" s="11">
        <f t="shared" si="11"/>
        <v>1086.6446820000001</v>
      </c>
    </row>
    <row r="170" spans="1:6" x14ac:dyDescent="0.4">
      <c r="A170" s="5">
        <f t="shared" si="12"/>
        <v>168</v>
      </c>
      <c r="B170" s="72">
        <f>WORKDAY(B169,1,Feriados!$A$1:$A$936)</f>
        <v>45140</v>
      </c>
      <c r="C170" s="73">
        <f t="shared" si="9"/>
        <v>13.65</v>
      </c>
      <c r="D170" s="74">
        <f>VLOOKUP(B170,$I$10:$J$19,2,FALSE)/100</f>
        <v>-0.5</v>
      </c>
      <c r="E170" s="74">
        <f t="shared" si="10"/>
        <v>12.15</v>
      </c>
      <c r="F170" s="11">
        <f t="shared" si="11"/>
        <v>1087.158439</v>
      </c>
    </row>
    <row r="171" spans="1:6" x14ac:dyDescent="0.4">
      <c r="A171" s="5">
        <f t="shared" si="12"/>
        <v>169</v>
      </c>
      <c r="B171" s="6">
        <f>WORKDAY(B170,1,Feriados!$A$1:$A$936)</f>
        <v>45141</v>
      </c>
      <c r="C171" s="4">
        <f t="shared" si="9"/>
        <v>13.65</v>
      </c>
      <c r="D171" s="7">
        <v>0</v>
      </c>
      <c r="E171" s="7">
        <f t="shared" si="10"/>
        <v>12.15</v>
      </c>
      <c r="F171" s="11">
        <f t="shared" si="11"/>
        <v>1087.653239</v>
      </c>
    </row>
    <row r="172" spans="1:6" x14ac:dyDescent="0.4">
      <c r="A172" s="5">
        <f t="shared" si="12"/>
        <v>170</v>
      </c>
      <c r="B172" s="6">
        <f>WORKDAY(B171,1,Feriados!$A$1:$A$936)</f>
        <v>45142</v>
      </c>
      <c r="C172" s="4">
        <f t="shared" si="9"/>
        <v>13.65</v>
      </c>
      <c r="D172" s="7">
        <v>0</v>
      </c>
      <c r="E172" s="7">
        <f t="shared" si="10"/>
        <v>12.15</v>
      </c>
      <c r="F172" s="11">
        <f t="shared" si="11"/>
        <v>1088.1482639999999</v>
      </c>
    </row>
    <row r="173" spans="1:6" x14ac:dyDescent="0.4">
      <c r="A173" s="5">
        <f t="shared" si="12"/>
        <v>171</v>
      </c>
      <c r="B173" s="6">
        <f>WORKDAY(B172,1,Feriados!$A$1:$A$936)</f>
        <v>45145</v>
      </c>
      <c r="C173" s="4">
        <f t="shared" si="9"/>
        <v>13.65</v>
      </c>
      <c r="D173" s="7">
        <v>0</v>
      </c>
      <c r="E173" s="7">
        <f t="shared" si="10"/>
        <v>12.15</v>
      </c>
      <c r="F173" s="11">
        <f t="shared" si="11"/>
        <v>1088.643515</v>
      </c>
    </row>
    <row r="174" spans="1:6" x14ac:dyDescent="0.4">
      <c r="A174" s="5">
        <f t="shared" si="12"/>
        <v>172</v>
      </c>
      <c r="B174" s="6">
        <f>WORKDAY(B173,1,Feriados!$A$1:$A$936)</f>
        <v>45146</v>
      </c>
      <c r="C174" s="4">
        <f t="shared" si="9"/>
        <v>13.65</v>
      </c>
      <c r="D174" s="7">
        <v>0</v>
      </c>
      <c r="E174" s="7">
        <f t="shared" si="10"/>
        <v>12.15</v>
      </c>
      <c r="F174" s="11">
        <f t="shared" si="11"/>
        <v>1089.138991</v>
      </c>
    </row>
    <row r="175" spans="1:6" x14ac:dyDescent="0.4">
      <c r="A175" s="5">
        <f t="shared" si="12"/>
        <v>173</v>
      </c>
      <c r="B175" s="6">
        <f>WORKDAY(B174,1,Feriados!$A$1:$A$936)</f>
        <v>45147</v>
      </c>
      <c r="C175" s="4">
        <f t="shared" si="9"/>
        <v>13.65</v>
      </c>
      <c r="D175" s="7">
        <v>0</v>
      </c>
      <c r="E175" s="7">
        <f t="shared" si="10"/>
        <v>12.15</v>
      </c>
      <c r="F175" s="11">
        <f t="shared" si="11"/>
        <v>1089.634693</v>
      </c>
    </row>
    <row r="176" spans="1:6" x14ac:dyDescent="0.4">
      <c r="A176" s="5">
        <f t="shared" si="12"/>
        <v>174</v>
      </c>
      <c r="B176" s="6">
        <f>WORKDAY(B175,1,Feriados!$A$1:$A$936)</f>
        <v>45148</v>
      </c>
      <c r="C176" s="4">
        <f t="shared" si="9"/>
        <v>13.65</v>
      </c>
      <c r="D176" s="7">
        <v>0</v>
      </c>
      <c r="E176" s="7">
        <f t="shared" si="10"/>
        <v>12.15</v>
      </c>
      <c r="F176" s="11">
        <f t="shared" si="11"/>
        <v>1090.1306199999999</v>
      </c>
    </row>
    <row r="177" spans="1:6" x14ac:dyDescent="0.4">
      <c r="A177" s="5">
        <f t="shared" si="12"/>
        <v>175</v>
      </c>
      <c r="B177" s="6">
        <f>WORKDAY(B176,1,Feriados!$A$1:$A$936)</f>
        <v>45149</v>
      </c>
      <c r="C177" s="4">
        <f t="shared" si="9"/>
        <v>13.65</v>
      </c>
      <c r="D177" s="7">
        <v>0</v>
      </c>
      <c r="E177" s="7">
        <f t="shared" si="10"/>
        <v>12.15</v>
      </c>
      <c r="F177" s="11">
        <f t="shared" si="11"/>
        <v>1090.626773</v>
      </c>
    </row>
    <row r="178" spans="1:6" x14ac:dyDescent="0.4">
      <c r="A178" s="5">
        <f t="shared" si="12"/>
        <v>176</v>
      </c>
      <c r="B178" s="6">
        <f>WORKDAY(B177,1,Feriados!$A$1:$A$936)</f>
        <v>45152</v>
      </c>
      <c r="C178" s="4">
        <f t="shared" si="9"/>
        <v>13.65</v>
      </c>
      <c r="D178" s="7">
        <v>0</v>
      </c>
      <c r="E178" s="7">
        <f t="shared" si="10"/>
        <v>12.15</v>
      </c>
      <c r="F178" s="11">
        <f t="shared" si="11"/>
        <v>1091.1231519999999</v>
      </c>
    </row>
    <row r="179" spans="1:6" x14ac:dyDescent="0.4">
      <c r="A179" s="5">
        <f t="shared" si="12"/>
        <v>177</v>
      </c>
      <c r="B179" s="6">
        <f>WORKDAY(B178,1,Feriados!$A$1:$A$936)</f>
        <v>45153</v>
      </c>
      <c r="C179" s="4">
        <f t="shared" si="9"/>
        <v>13.65</v>
      </c>
      <c r="D179" s="7">
        <v>0</v>
      </c>
      <c r="E179" s="7">
        <f t="shared" si="10"/>
        <v>12.15</v>
      </c>
      <c r="F179" s="11">
        <f t="shared" si="11"/>
        <v>1091.6197569999999</v>
      </c>
    </row>
    <row r="180" spans="1:6" x14ac:dyDescent="0.4">
      <c r="A180" s="5">
        <f t="shared" si="12"/>
        <v>178</v>
      </c>
      <c r="B180" s="6">
        <f>WORKDAY(B179,1,Feriados!$A$1:$A$936)</f>
        <v>45154</v>
      </c>
      <c r="C180" s="4">
        <f t="shared" si="9"/>
        <v>13.65</v>
      </c>
      <c r="D180" s="7">
        <v>0</v>
      </c>
      <c r="E180" s="7">
        <f t="shared" si="10"/>
        <v>12.15</v>
      </c>
      <c r="F180" s="11">
        <f t="shared" si="11"/>
        <v>1092.1165880000001</v>
      </c>
    </row>
    <row r="181" spans="1:6" x14ac:dyDescent="0.4">
      <c r="A181" s="5">
        <f t="shared" si="12"/>
        <v>179</v>
      </c>
      <c r="B181" s="6">
        <f>WORKDAY(B180,1,Feriados!$A$1:$A$936)</f>
        <v>45155</v>
      </c>
      <c r="C181" s="4">
        <f t="shared" si="9"/>
        <v>13.65</v>
      </c>
      <c r="D181" s="7">
        <v>0</v>
      </c>
      <c r="E181" s="7">
        <f t="shared" si="10"/>
        <v>12.15</v>
      </c>
      <c r="F181" s="11">
        <f t="shared" si="11"/>
        <v>1092.6136449999999</v>
      </c>
    </row>
    <row r="182" spans="1:6" x14ac:dyDescent="0.4">
      <c r="A182" s="5">
        <f t="shared" si="12"/>
        <v>180</v>
      </c>
      <c r="B182" s="6">
        <f>WORKDAY(B181,1,Feriados!$A$1:$A$936)</f>
        <v>45156</v>
      </c>
      <c r="C182" s="4">
        <f t="shared" si="9"/>
        <v>13.65</v>
      </c>
      <c r="D182" s="7">
        <v>0</v>
      </c>
      <c r="E182" s="7">
        <f t="shared" si="10"/>
        <v>12.15</v>
      </c>
      <c r="F182" s="11">
        <f t="shared" si="11"/>
        <v>1093.1109280000001</v>
      </c>
    </row>
    <row r="183" spans="1:6" x14ac:dyDescent="0.4">
      <c r="A183" s="5">
        <f t="shared" si="12"/>
        <v>181</v>
      </c>
      <c r="B183" s="6">
        <f>WORKDAY(B182,1,Feriados!$A$1:$A$936)</f>
        <v>45159</v>
      </c>
      <c r="C183" s="4">
        <f t="shared" si="9"/>
        <v>13.65</v>
      </c>
      <c r="D183" s="7">
        <v>0</v>
      </c>
      <c r="E183" s="7">
        <f t="shared" si="10"/>
        <v>12.15</v>
      </c>
      <c r="F183" s="11">
        <f t="shared" si="11"/>
        <v>1093.6084370000001</v>
      </c>
    </row>
    <row r="184" spans="1:6" x14ac:dyDescent="0.4">
      <c r="A184" s="5">
        <f t="shared" si="12"/>
        <v>182</v>
      </c>
      <c r="B184" s="6">
        <f>WORKDAY(B183,1,Feriados!$A$1:$A$936)</f>
        <v>45160</v>
      </c>
      <c r="C184" s="4">
        <f t="shared" si="9"/>
        <v>13.65</v>
      </c>
      <c r="D184" s="7">
        <v>0</v>
      </c>
      <c r="E184" s="7">
        <f t="shared" si="10"/>
        <v>12.15</v>
      </c>
      <c r="F184" s="11">
        <f t="shared" si="11"/>
        <v>1094.1061729999999</v>
      </c>
    </row>
    <row r="185" spans="1:6" x14ac:dyDescent="0.4">
      <c r="A185" s="5">
        <f t="shared" si="12"/>
        <v>183</v>
      </c>
      <c r="B185" s="6">
        <f>WORKDAY(B184,1,Feriados!$A$1:$A$936)</f>
        <v>45161</v>
      </c>
      <c r="C185" s="4">
        <f t="shared" si="9"/>
        <v>13.65</v>
      </c>
      <c r="D185" s="7">
        <v>0</v>
      </c>
      <c r="E185" s="7">
        <f t="shared" si="10"/>
        <v>12.15</v>
      </c>
      <c r="F185" s="11">
        <f t="shared" si="11"/>
        <v>1094.604135</v>
      </c>
    </row>
    <row r="186" spans="1:6" x14ac:dyDescent="0.4">
      <c r="A186" s="5">
        <f t="shared" si="12"/>
        <v>184</v>
      </c>
      <c r="B186" s="6">
        <f>WORKDAY(B185,1,Feriados!$A$1:$A$936)</f>
        <v>45162</v>
      </c>
      <c r="C186" s="4">
        <f t="shared" si="9"/>
        <v>13.65</v>
      </c>
      <c r="D186" s="7">
        <v>0</v>
      </c>
      <c r="E186" s="7">
        <f t="shared" si="10"/>
        <v>12.15</v>
      </c>
      <c r="F186" s="11">
        <f t="shared" si="11"/>
        <v>1095.102324</v>
      </c>
    </row>
    <row r="187" spans="1:6" x14ac:dyDescent="0.4">
      <c r="A187" s="5">
        <f t="shared" si="12"/>
        <v>185</v>
      </c>
      <c r="B187" s="6">
        <f>WORKDAY(B186,1,Feriados!$A$1:$A$936)</f>
        <v>45163</v>
      </c>
      <c r="C187" s="4">
        <f t="shared" si="9"/>
        <v>13.65</v>
      </c>
      <c r="D187" s="7">
        <v>0</v>
      </c>
      <c r="E187" s="7">
        <f t="shared" si="10"/>
        <v>12.15</v>
      </c>
      <c r="F187" s="11">
        <f t="shared" si="11"/>
        <v>1095.6007400000001</v>
      </c>
    </row>
    <row r="188" spans="1:6" x14ac:dyDescent="0.4">
      <c r="A188" s="5">
        <f t="shared" si="12"/>
        <v>186</v>
      </c>
      <c r="B188" s="6">
        <f>WORKDAY(B187,1,Feriados!$A$1:$A$936)</f>
        <v>45166</v>
      </c>
      <c r="C188" s="4">
        <f t="shared" si="9"/>
        <v>13.65</v>
      </c>
      <c r="D188" s="7">
        <v>0</v>
      </c>
      <c r="E188" s="7">
        <f t="shared" si="10"/>
        <v>12.15</v>
      </c>
      <c r="F188" s="11">
        <f t="shared" si="11"/>
        <v>1096.099383</v>
      </c>
    </row>
    <row r="189" spans="1:6" x14ac:dyDescent="0.4">
      <c r="A189" s="5">
        <f t="shared" si="12"/>
        <v>187</v>
      </c>
      <c r="B189" s="6">
        <f>WORKDAY(B188,1,Feriados!$A$1:$A$936)</f>
        <v>45167</v>
      </c>
      <c r="C189" s="4">
        <f t="shared" si="9"/>
        <v>13.65</v>
      </c>
      <c r="D189" s="7">
        <v>0</v>
      </c>
      <c r="E189" s="7">
        <f t="shared" si="10"/>
        <v>12.15</v>
      </c>
      <c r="F189" s="11">
        <f t="shared" si="11"/>
        <v>1096.598252</v>
      </c>
    </row>
    <row r="190" spans="1:6" x14ac:dyDescent="0.4">
      <c r="A190" s="5">
        <f t="shared" si="12"/>
        <v>188</v>
      </c>
      <c r="B190" s="6">
        <f>WORKDAY(B189,1,Feriados!$A$1:$A$936)</f>
        <v>45168</v>
      </c>
      <c r="C190" s="4">
        <f t="shared" si="9"/>
        <v>13.65</v>
      </c>
      <c r="D190" s="7">
        <v>0</v>
      </c>
      <c r="E190" s="7">
        <f t="shared" si="10"/>
        <v>12.15</v>
      </c>
      <c r="F190" s="11">
        <f t="shared" si="11"/>
        <v>1097.0973489999999</v>
      </c>
    </row>
    <row r="191" spans="1:6" x14ac:dyDescent="0.4">
      <c r="A191" s="5">
        <f t="shared" si="12"/>
        <v>189</v>
      </c>
      <c r="B191" s="6">
        <f>WORKDAY(B190,1,Feriados!$A$1:$A$936)</f>
        <v>45169</v>
      </c>
      <c r="C191" s="4">
        <f t="shared" si="9"/>
        <v>13.65</v>
      </c>
      <c r="D191" s="7">
        <v>0</v>
      </c>
      <c r="E191" s="7">
        <f t="shared" si="10"/>
        <v>12.15</v>
      </c>
      <c r="F191" s="11">
        <f t="shared" si="11"/>
        <v>1097.596673</v>
      </c>
    </row>
    <row r="192" spans="1:6" x14ac:dyDescent="0.4">
      <c r="A192" s="5">
        <f t="shared" si="12"/>
        <v>190</v>
      </c>
      <c r="B192" s="6">
        <f>WORKDAY(B191,1,Feriados!$A$1:$A$936)</f>
        <v>45170</v>
      </c>
      <c r="C192" s="4">
        <f t="shared" si="9"/>
        <v>13.65</v>
      </c>
      <c r="D192" s="7">
        <v>0</v>
      </c>
      <c r="E192" s="7">
        <f t="shared" si="10"/>
        <v>12.15</v>
      </c>
      <c r="F192" s="11">
        <f t="shared" si="11"/>
        <v>1098.0962239999999</v>
      </c>
    </row>
    <row r="193" spans="1:6" x14ac:dyDescent="0.4">
      <c r="A193" s="5">
        <f t="shared" si="12"/>
        <v>191</v>
      </c>
      <c r="B193" s="6">
        <f>WORKDAY(B192,1,Feriados!$A$1:$A$936)</f>
        <v>45173</v>
      </c>
      <c r="C193" s="4">
        <f t="shared" si="9"/>
        <v>13.65</v>
      </c>
      <c r="D193" s="7">
        <v>0</v>
      </c>
      <c r="E193" s="7">
        <f t="shared" si="10"/>
        <v>12.15</v>
      </c>
      <c r="F193" s="11">
        <f t="shared" si="11"/>
        <v>1098.596002</v>
      </c>
    </row>
    <row r="194" spans="1:6" x14ac:dyDescent="0.4">
      <c r="A194" s="5">
        <f t="shared" si="12"/>
        <v>192</v>
      </c>
      <c r="B194" s="6">
        <f>WORKDAY(B193,1,Feriados!$A$1:$A$936)</f>
        <v>45174</v>
      </c>
      <c r="C194" s="4">
        <f t="shared" si="9"/>
        <v>13.65</v>
      </c>
      <c r="D194" s="7">
        <v>0</v>
      </c>
      <c r="E194" s="7">
        <f t="shared" si="10"/>
        <v>12.15</v>
      </c>
      <c r="F194" s="11">
        <f t="shared" si="11"/>
        <v>1099.096008</v>
      </c>
    </row>
    <row r="195" spans="1:6" x14ac:dyDescent="0.4">
      <c r="A195" s="5">
        <f t="shared" si="12"/>
        <v>193</v>
      </c>
      <c r="B195" s="6">
        <f>WORKDAY(B194,1,Feriados!$A$1:$A$936)</f>
        <v>45175</v>
      </c>
      <c r="C195" s="4">
        <f t="shared" si="9"/>
        <v>13.65</v>
      </c>
      <c r="D195" s="7">
        <v>0</v>
      </c>
      <c r="E195" s="7">
        <f t="shared" si="10"/>
        <v>12.15</v>
      </c>
      <c r="F195" s="11">
        <f t="shared" si="11"/>
        <v>1099.596241</v>
      </c>
    </row>
    <row r="196" spans="1:6" x14ac:dyDescent="0.4">
      <c r="A196" s="5">
        <f t="shared" si="12"/>
        <v>194</v>
      </c>
      <c r="B196" s="6">
        <f>WORKDAY(B195,1,Feriados!$A$1:$A$936)</f>
        <v>45177</v>
      </c>
      <c r="C196" s="4">
        <f t="shared" ref="C196:C259" si="13">+C195</f>
        <v>13.65</v>
      </c>
      <c r="D196" s="7">
        <v>0</v>
      </c>
      <c r="E196" s="7">
        <f t="shared" ref="E196:E259" si="14">+E195+D196</f>
        <v>12.15</v>
      </c>
      <c r="F196" s="11">
        <f t="shared" ref="F196:F259" si="15">+ROUND(((1+E195/100)^(1/252))*F195,6)</f>
        <v>1100.0967020000001</v>
      </c>
    </row>
    <row r="197" spans="1:6" x14ac:dyDescent="0.4">
      <c r="A197" s="5">
        <f t="shared" si="12"/>
        <v>195</v>
      </c>
      <c r="B197" s="6">
        <f>WORKDAY(B196,1,Feriados!$A$1:$A$936)</f>
        <v>45180</v>
      </c>
      <c r="C197" s="4">
        <f t="shared" si="13"/>
        <v>13.65</v>
      </c>
      <c r="D197" s="7">
        <v>0</v>
      </c>
      <c r="E197" s="7">
        <f t="shared" si="14"/>
        <v>12.15</v>
      </c>
      <c r="F197" s="11">
        <f t="shared" si="15"/>
        <v>1100.597391</v>
      </c>
    </row>
    <row r="198" spans="1:6" x14ac:dyDescent="0.4">
      <c r="A198" s="5">
        <f t="shared" si="12"/>
        <v>196</v>
      </c>
      <c r="B198" s="6">
        <f>WORKDAY(B197,1,Feriados!$A$1:$A$936)</f>
        <v>45181</v>
      </c>
      <c r="C198" s="4">
        <f t="shared" si="13"/>
        <v>13.65</v>
      </c>
      <c r="D198" s="7">
        <v>0</v>
      </c>
      <c r="E198" s="7">
        <f t="shared" si="14"/>
        <v>12.15</v>
      </c>
      <c r="F198" s="11">
        <f t="shared" si="15"/>
        <v>1101.0983080000001</v>
      </c>
    </row>
    <row r="199" spans="1:6" x14ac:dyDescent="0.4">
      <c r="A199" s="5">
        <f t="shared" si="12"/>
        <v>197</v>
      </c>
      <c r="B199" s="6">
        <f>WORKDAY(B198,1,Feriados!$A$1:$A$936)</f>
        <v>45182</v>
      </c>
      <c r="C199" s="4">
        <f t="shared" si="13"/>
        <v>13.65</v>
      </c>
      <c r="D199" s="7">
        <v>0</v>
      </c>
      <c r="E199" s="7">
        <f t="shared" si="14"/>
        <v>12.15</v>
      </c>
      <c r="F199" s="11">
        <f t="shared" si="15"/>
        <v>1101.599453</v>
      </c>
    </row>
    <row r="200" spans="1:6" x14ac:dyDescent="0.4">
      <c r="A200" s="5">
        <f t="shared" si="12"/>
        <v>198</v>
      </c>
      <c r="B200" s="6">
        <f>WORKDAY(B199,1,Feriados!$A$1:$A$936)</f>
        <v>45183</v>
      </c>
      <c r="C200" s="4">
        <f t="shared" si="13"/>
        <v>13.65</v>
      </c>
      <c r="D200" s="7">
        <v>0</v>
      </c>
      <c r="E200" s="7">
        <f t="shared" si="14"/>
        <v>12.15</v>
      </c>
      <c r="F200" s="11">
        <f t="shared" si="15"/>
        <v>1102.1008260000001</v>
      </c>
    </row>
    <row r="201" spans="1:6" x14ac:dyDescent="0.4">
      <c r="A201" s="5">
        <f t="shared" si="12"/>
        <v>199</v>
      </c>
      <c r="B201" s="6">
        <f>WORKDAY(B200,1,Feriados!$A$1:$A$936)</f>
        <v>45184</v>
      </c>
      <c r="C201" s="4">
        <f t="shared" si="13"/>
        <v>13.65</v>
      </c>
      <c r="D201" s="7">
        <v>0</v>
      </c>
      <c r="E201" s="7">
        <f t="shared" si="14"/>
        <v>12.15</v>
      </c>
      <c r="F201" s="11">
        <f t="shared" si="15"/>
        <v>1102.602427</v>
      </c>
    </row>
    <row r="202" spans="1:6" x14ac:dyDescent="0.4">
      <c r="A202" s="5">
        <f t="shared" si="12"/>
        <v>200</v>
      </c>
      <c r="B202" s="6">
        <f>WORKDAY(B201,1,Feriados!$A$1:$A$936)</f>
        <v>45187</v>
      </c>
      <c r="C202" s="4">
        <f t="shared" si="13"/>
        <v>13.65</v>
      </c>
      <c r="D202" s="7">
        <v>0</v>
      </c>
      <c r="E202" s="7">
        <f t="shared" si="14"/>
        <v>12.15</v>
      </c>
      <c r="F202" s="11">
        <f t="shared" si="15"/>
        <v>1103.1042560000001</v>
      </c>
    </row>
    <row r="203" spans="1:6" x14ac:dyDescent="0.4">
      <c r="A203" s="5">
        <f t="shared" ref="A203:A213" si="16">+A202+1</f>
        <v>201</v>
      </c>
      <c r="B203" s="6">
        <f>WORKDAY(B202,1,Feriados!$A$1:$A$936)</f>
        <v>45188</v>
      </c>
      <c r="C203" s="4">
        <f t="shared" si="13"/>
        <v>13.65</v>
      </c>
      <c r="D203" s="7">
        <v>0</v>
      </c>
      <c r="E203" s="7">
        <f t="shared" si="14"/>
        <v>12.15</v>
      </c>
      <c r="F203" s="11">
        <f t="shared" si="15"/>
        <v>1103.6063140000001</v>
      </c>
    </row>
    <row r="204" spans="1:6" x14ac:dyDescent="0.4">
      <c r="A204" s="5">
        <f t="shared" si="16"/>
        <v>202</v>
      </c>
      <c r="B204" s="72">
        <f>WORKDAY(B203,1,Feriados!$A$1:$A$936)</f>
        <v>45189</v>
      </c>
      <c r="C204" s="73">
        <f t="shared" si="13"/>
        <v>13.65</v>
      </c>
      <c r="D204" s="74">
        <f>VLOOKUP(B204,$I$10:$J$19,2,FALSE)/100</f>
        <v>0</v>
      </c>
      <c r="E204" s="74">
        <f t="shared" si="14"/>
        <v>12.15</v>
      </c>
      <c r="F204" s="11">
        <f t="shared" si="15"/>
        <v>1104.1086</v>
      </c>
    </row>
    <row r="205" spans="1:6" x14ac:dyDescent="0.4">
      <c r="A205" s="5">
        <f t="shared" si="16"/>
        <v>203</v>
      </c>
      <c r="B205" s="6">
        <f>WORKDAY(B204,1,Feriados!$A$1:$A$936)</f>
        <v>45190</v>
      </c>
      <c r="C205" s="4">
        <f t="shared" si="13"/>
        <v>13.65</v>
      </c>
      <c r="D205" s="7">
        <v>0</v>
      </c>
      <c r="E205" s="7">
        <f t="shared" si="14"/>
        <v>12.15</v>
      </c>
      <c r="F205" s="11">
        <f t="shared" si="15"/>
        <v>1104.6111149999999</v>
      </c>
    </row>
    <row r="206" spans="1:6" x14ac:dyDescent="0.4">
      <c r="A206" s="5">
        <f t="shared" si="16"/>
        <v>204</v>
      </c>
      <c r="B206" s="6">
        <f>WORKDAY(B205,1,Feriados!$A$1:$A$936)</f>
        <v>45191</v>
      </c>
      <c r="C206" s="4">
        <f t="shared" si="13"/>
        <v>13.65</v>
      </c>
      <c r="D206" s="7">
        <v>0</v>
      </c>
      <c r="E206" s="7">
        <f t="shared" si="14"/>
        <v>12.15</v>
      </c>
      <c r="F206" s="11">
        <f t="shared" si="15"/>
        <v>1105.1138579999999</v>
      </c>
    </row>
    <row r="207" spans="1:6" x14ac:dyDescent="0.4">
      <c r="A207" s="5">
        <f t="shared" si="16"/>
        <v>205</v>
      </c>
      <c r="B207" s="6">
        <f>WORKDAY(B206,1,Feriados!$A$1:$A$936)</f>
        <v>45194</v>
      </c>
      <c r="C207" s="4">
        <f t="shared" si="13"/>
        <v>13.65</v>
      </c>
      <c r="D207" s="7">
        <v>0</v>
      </c>
      <c r="E207" s="7">
        <f t="shared" si="14"/>
        <v>12.15</v>
      </c>
      <c r="F207" s="11">
        <f t="shared" si="15"/>
        <v>1105.6168299999999</v>
      </c>
    </row>
    <row r="208" spans="1:6" x14ac:dyDescent="0.4">
      <c r="A208" s="5">
        <f t="shared" si="16"/>
        <v>206</v>
      </c>
      <c r="B208" s="6">
        <f>WORKDAY(B207,1,Feriados!$A$1:$A$936)</f>
        <v>45195</v>
      </c>
      <c r="C208" s="4">
        <f t="shared" si="13"/>
        <v>13.65</v>
      </c>
      <c r="D208" s="7">
        <v>0</v>
      </c>
      <c r="E208" s="7">
        <f t="shared" si="14"/>
        <v>12.15</v>
      </c>
      <c r="F208" s="11">
        <f t="shared" si="15"/>
        <v>1106.1200309999999</v>
      </c>
    </row>
    <row r="209" spans="1:6" x14ac:dyDescent="0.4">
      <c r="A209" s="5">
        <f t="shared" si="16"/>
        <v>207</v>
      </c>
      <c r="B209" s="6">
        <f>WORKDAY(B208,1,Feriados!$A$1:$A$936)</f>
        <v>45196</v>
      </c>
      <c r="C209" s="4">
        <f t="shared" si="13"/>
        <v>13.65</v>
      </c>
      <c r="D209" s="7">
        <v>0</v>
      </c>
      <c r="E209" s="7">
        <f t="shared" si="14"/>
        <v>12.15</v>
      </c>
      <c r="F209" s="11">
        <f t="shared" si="15"/>
        <v>1106.6234609999999</v>
      </c>
    </row>
    <row r="210" spans="1:6" x14ac:dyDescent="0.4">
      <c r="A210" s="5">
        <f t="shared" si="16"/>
        <v>208</v>
      </c>
      <c r="B210" s="6">
        <f>WORKDAY(B209,1,Feriados!$A$1:$A$936)</f>
        <v>45197</v>
      </c>
      <c r="C210" s="4">
        <f t="shared" si="13"/>
        <v>13.65</v>
      </c>
      <c r="D210" s="7">
        <v>0</v>
      </c>
      <c r="E210" s="7">
        <f t="shared" si="14"/>
        <v>12.15</v>
      </c>
      <c r="F210" s="11">
        <f t="shared" si="15"/>
        <v>1107.1271200000001</v>
      </c>
    </row>
    <row r="211" spans="1:6" x14ac:dyDescent="0.4">
      <c r="A211" s="5">
        <f t="shared" si="16"/>
        <v>209</v>
      </c>
      <c r="B211" s="6">
        <f>WORKDAY(B210,1,Feriados!$A$1:$A$936)</f>
        <v>45198</v>
      </c>
      <c r="C211" s="4">
        <f t="shared" si="13"/>
        <v>13.65</v>
      </c>
      <c r="D211" s="7">
        <v>0</v>
      </c>
      <c r="E211" s="7">
        <f t="shared" si="14"/>
        <v>12.15</v>
      </c>
      <c r="F211" s="11">
        <f t="shared" si="15"/>
        <v>1107.6310089999999</v>
      </c>
    </row>
    <row r="212" spans="1:6" x14ac:dyDescent="0.4">
      <c r="A212" s="63">
        <f t="shared" si="16"/>
        <v>210</v>
      </c>
      <c r="B212" s="64">
        <f>WORKDAY(B211,1,Feriados!$A$1:$A$936)</f>
        <v>45201</v>
      </c>
      <c r="C212" s="65">
        <f t="shared" si="13"/>
        <v>13.65</v>
      </c>
      <c r="D212" s="66">
        <v>0</v>
      </c>
      <c r="E212" s="66">
        <f t="shared" si="14"/>
        <v>12.15</v>
      </c>
      <c r="F212" s="67">
        <f t="shared" si="15"/>
        <v>1108.135127</v>
      </c>
    </row>
    <row r="213" spans="1:6" x14ac:dyDescent="0.4">
      <c r="A213" s="5">
        <f t="shared" si="16"/>
        <v>211</v>
      </c>
      <c r="B213" s="6">
        <f>WORKDAY(B212,1,Feriados!$A$1:$A$936)</f>
        <v>45202</v>
      </c>
      <c r="C213" s="4">
        <f t="shared" si="13"/>
        <v>13.65</v>
      </c>
      <c r="D213" s="7">
        <v>0</v>
      </c>
      <c r="E213" s="7">
        <f t="shared" si="14"/>
        <v>12.15</v>
      </c>
      <c r="F213" s="11">
        <f t="shared" si="15"/>
        <v>1108.6394740000001</v>
      </c>
    </row>
    <row r="214" spans="1:6" x14ac:dyDescent="0.4">
      <c r="A214" s="5">
        <f>+A213+1</f>
        <v>212</v>
      </c>
      <c r="B214" s="6">
        <f>WORKDAY(B213,1,Feriados!$A$1:$A$936)</f>
        <v>45203</v>
      </c>
      <c r="C214" s="4">
        <f t="shared" si="13"/>
        <v>13.65</v>
      </c>
      <c r="D214" s="7">
        <v>0</v>
      </c>
      <c r="E214" s="7">
        <f t="shared" si="14"/>
        <v>12.15</v>
      </c>
      <c r="F214" s="11">
        <f t="shared" si="15"/>
        <v>1109.144051</v>
      </c>
    </row>
    <row r="215" spans="1:6" x14ac:dyDescent="0.4">
      <c r="A215" s="5">
        <f t="shared" ref="A215:A273" si="17">+A214+1</f>
        <v>213</v>
      </c>
      <c r="B215" s="6">
        <f>WORKDAY(B214,1,Feriados!$A$1:$A$936)</f>
        <v>45204</v>
      </c>
      <c r="C215" s="4">
        <f t="shared" si="13"/>
        <v>13.65</v>
      </c>
      <c r="D215" s="7">
        <v>0</v>
      </c>
      <c r="E215" s="7">
        <f t="shared" si="14"/>
        <v>12.15</v>
      </c>
      <c r="F215" s="11">
        <f t="shared" si="15"/>
        <v>1109.648858</v>
      </c>
    </row>
    <row r="216" spans="1:6" x14ac:dyDescent="0.4">
      <c r="A216" s="5">
        <f t="shared" si="17"/>
        <v>214</v>
      </c>
      <c r="B216" s="6">
        <f>WORKDAY(B215,1,Feriados!$A$1:$A$936)</f>
        <v>45205</v>
      </c>
      <c r="C216" s="4">
        <f t="shared" si="13"/>
        <v>13.65</v>
      </c>
      <c r="D216" s="7">
        <v>0</v>
      </c>
      <c r="E216" s="7">
        <f t="shared" si="14"/>
        <v>12.15</v>
      </c>
      <c r="F216" s="11">
        <f t="shared" si="15"/>
        <v>1110.153894</v>
      </c>
    </row>
    <row r="217" spans="1:6" x14ac:dyDescent="0.4">
      <c r="A217" s="5">
        <f t="shared" si="17"/>
        <v>215</v>
      </c>
      <c r="B217" s="6">
        <f>WORKDAY(B216,1,Feriados!$A$1:$A$936)</f>
        <v>45208</v>
      </c>
      <c r="C217" s="4">
        <f t="shared" si="13"/>
        <v>13.65</v>
      </c>
      <c r="D217" s="7">
        <v>0</v>
      </c>
      <c r="E217" s="7">
        <f t="shared" si="14"/>
        <v>12.15</v>
      </c>
      <c r="F217" s="11">
        <f t="shared" si="15"/>
        <v>1110.6591599999999</v>
      </c>
    </row>
    <row r="218" spans="1:6" x14ac:dyDescent="0.4">
      <c r="A218" s="5">
        <f t="shared" si="17"/>
        <v>216</v>
      </c>
      <c r="B218" s="6">
        <f>WORKDAY(B217,1,Feriados!$A$1:$A$936)</f>
        <v>45209</v>
      </c>
      <c r="C218" s="4">
        <f t="shared" si="13"/>
        <v>13.65</v>
      </c>
      <c r="D218" s="7">
        <v>0</v>
      </c>
      <c r="E218" s="7">
        <f t="shared" si="14"/>
        <v>12.15</v>
      </c>
      <c r="F218" s="11">
        <f t="shared" si="15"/>
        <v>1111.1646559999999</v>
      </c>
    </row>
    <row r="219" spans="1:6" x14ac:dyDescent="0.4">
      <c r="A219" s="5">
        <f t="shared" si="17"/>
        <v>217</v>
      </c>
      <c r="B219" s="6">
        <f>WORKDAY(B218,1,Feriados!$A$1:$A$936)</f>
        <v>45210</v>
      </c>
      <c r="C219" s="4">
        <f t="shared" si="13"/>
        <v>13.65</v>
      </c>
      <c r="D219" s="7">
        <v>0</v>
      </c>
      <c r="E219" s="7">
        <f t="shared" si="14"/>
        <v>12.15</v>
      </c>
      <c r="F219" s="11">
        <f t="shared" si="15"/>
        <v>1111.670382</v>
      </c>
    </row>
    <row r="220" spans="1:6" x14ac:dyDescent="0.4">
      <c r="A220" s="5">
        <f t="shared" si="17"/>
        <v>218</v>
      </c>
      <c r="B220" s="6">
        <f>WORKDAY(B219,1,Feriados!$A$1:$A$936)</f>
        <v>45212</v>
      </c>
      <c r="C220" s="4">
        <f t="shared" si="13"/>
        <v>13.65</v>
      </c>
      <c r="D220" s="7">
        <v>0</v>
      </c>
      <c r="E220" s="7">
        <f t="shared" si="14"/>
        <v>12.15</v>
      </c>
      <c r="F220" s="11">
        <f t="shared" si="15"/>
        <v>1112.176338</v>
      </c>
    </row>
    <row r="221" spans="1:6" x14ac:dyDescent="0.4">
      <c r="A221" s="5">
        <f t="shared" si="17"/>
        <v>219</v>
      </c>
      <c r="B221" s="6">
        <f>WORKDAY(B220,1,Feriados!$A$1:$A$936)</f>
        <v>45215</v>
      </c>
      <c r="C221" s="4">
        <f t="shared" si="13"/>
        <v>13.65</v>
      </c>
      <c r="D221" s="7">
        <v>0</v>
      </c>
      <c r="E221" s="7">
        <f t="shared" si="14"/>
        <v>12.15</v>
      </c>
      <c r="F221" s="11">
        <f t="shared" si="15"/>
        <v>1112.6825249999999</v>
      </c>
    </row>
    <row r="222" spans="1:6" x14ac:dyDescent="0.4">
      <c r="A222" s="5">
        <f t="shared" si="17"/>
        <v>220</v>
      </c>
      <c r="B222" s="6">
        <f>WORKDAY(B221,1,Feriados!$A$1:$A$936)</f>
        <v>45216</v>
      </c>
      <c r="C222" s="4">
        <f t="shared" si="13"/>
        <v>13.65</v>
      </c>
      <c r="D222" s="7">
        <v>0</v>
      </c>
      <c r="E222" s="7">
        <f t="shared" si="14"/>
        <v>12.15</v>
      </c>
      <c r="F222" s="11">
        <f t="shared" si="15"/>
        <v>1113.188942</v>
      </c>
    </row>
    <row r="223" spans="1:6" x14ac:dyDescent="0.4">
      <c r="A223" s="5">
        <f t="shared" si="17"/>
        <v>221</v>
      </c>
      <c r="B223" s="6">
        <f>WORKDAY(B222,1,Feriados!$A$1:$A$936)</f>
        <v>45217</v>
      </c>
      <c r="C223" s="4">
        <f t="shared" si="13"/>
        <v>13.65</v>
      </c>
      <c r="D223" s="7">
        <v>0</v>
      </c>
      <c r="E223" s="7">
        <f t="shared" si="14"/>
        <v>12.15</v>
      </c>
      <c r="F223" s="11">
        <f t="shared" si="15"/>
        <v>1113.6955889999999</v>
      </c>
    </row>
    <row r="224" spans="1:6" x14ac:dyDescent="0.4">
      <c r="A224" s="5">
        <f t="shared" si="17"/>
        <v>222</v>
      </c>
      <c r="B224" s="6">
        <f>WORKDAY(B223,1,Feriados!$A$1:$A$936)</f>
        <v>45218</v>
      </c>
      <c r="C224" s="4">
        <f t="shared" si="13"/>
        <v>13.65</v>
      </c>
      <c r="D224" s="7">
        <v>0</v>
      </c>
      <c r="E224" s="7">
        <f t="shared" si="14"/>
        <v>12.15</v>
      </c>
      <c r="F224" s="11">
        <f t="shared" si="15"/>
        <v>1114.2024670000001</v>
      </c>
    </row>
    <row r="225" spans="1:6" x14ac:dyDescent="0.4">
      <c r="A225" s="5">
        <f t="shared" si="17"/>
        <v>223</v>
      </c>
      <c r="B225" s="6">
        <f>WORKDAY(B224,1,Feriados!$A$1:$A$936)</f>
        <v>45219</v>
      </c>
      <c r="C225" s="4">
        <f t="shared" si="13"/>
        <v>13.65</v>
      </c>
      <c r="D225" s="7">
        <v>0</v>
      </c>
      <c r="E225" s="7">
        <f t="shared" si="14"/>
        <v>12.15</v>
      </c>
      <c r="F225" s="11">
        <f t="shared" si="15"/>
        <v>1114.709576</v>
      </c>
    </row>
    <row r="226" spans="1:6" x14ac:dyDescent="0.4">
      <c r="A226" s="5">
        <f t="shared" si="17"/>
        <v>224</v>
      </c>
      <c r="B226" s="6">
        <f>WORKDAY(B225,1,Feriados!$A$1:$A$936)</f>
        <v>45222</v>
      </c>
      <c r="C226" s="4">
        <f t="shared" si="13"/>
        <v>13.65</v>
      </c>
      <c r="D226" s="7">
        <v>0</v>
      </c>
      <c r="E226" s="7">
        <f t="shared" si="14"/>
        <v>12.15</v>
      </c>
      <c r="F226" s="11">
        <f t="shared" si="15"/>
        <v>1115.2169160000001</v>
      </c>
    </row>
    <row r="227" spans="1:6" x14ac:dyDescent="0.4">
      <c r="A227" s="5">
        <f t="shared" si="17"/>
        <v>225</v>
      </c>
      <c r="B227" s="6">
        <f>WORKDAY(B226,1,Feriados!$A$1:$A$936)</f>
        <v>45223</v>
      </c>
      <c r="C227" s="4">
        <f t="shared" si="13"/>
        <v>13.65</v>
      </c>
      <c r="D227" s="7">
        <v>0</v>
      </c>
      <c r="E227" s="7">
        <f t="shared" si="14"/>
        <v>12.15</v>
      </c>
      <c r="F227" s="11">
        <f t="shared" si="15"/>
        <v>1115.7244860000001</v>
      </c>
    </row>
    <row r="228" spans="1:6" x14ac:dyDescent="0.4">
      <c r="A228" s="5">
        <f t="shared" si="17"/>
        <v>226</v>
      </c>
      <c r="B228" s="72">
        <f>WORKDAY(B227,1,Feriados!$A$1:$A$936)</f>
        <v>45224</v>
      </c>
      <c r="C228" s="73">
        <f t="shared" si="13"/>
        <v>13.65</v>
      </c>
      <c r="D228" s="74">
        <f>VLOOKUP(B228,$I$10:$J$19,2,FALSE)/100</f>
        <v>0</v>
      </c>
      <c r="E228" s="74">
        <f t="shared" si="14"/>
        <v>12.15</v>
      </c>
      <c r="F228" s="11">
        <f t="shared" si="15"/>
        <v>1116.232287</v>
      </c>
    </row>
    <row r="229" spans="1:6" x14ac:dyDescent="0.4">
      <c r="A229" s="5">
        <f t="shared" si="17"/>
        <v>227</v>
      </c>
      <c r="B229" s="6">
        <f>WORKDAY(B228,1,Feriados!$A$1:$A$936)</f>
        <v>45225</v>
      </c>
      <c r="C229" s="4">
        <f t="shared" si="13"/>
        <v>13.65</v>
      </c>
      <c r="D229" s="7">
        <v>0</v>
      </c>
      <c r="E229" s="7">
        <f t="shared" si="14"/>
        <v>12.15</v>
      </c>
      <c r="F229" s="11">
        <f t="shared" si="15"/>
        <v>1116.7403200000001</v>
      </c>
    </row>
    <row r="230" spans="1:6" x14ac:dyDescent="0.4">
      <c r="A230" s="5">
        <f t="shared" si="17"/>
        <v>228</v>
      </c>
      <c r="B230" s="6">
        <f>WORKDAY(B229,1,Feriados!$A$1:$A$936)</f>
        <v>45226</v>
      </c>
      <c r="C230" s="4">
        <f t="shared" si="13"/>
        <v>13.65</v>
      </c>
      <c r="D230" s="7">
        <v>0</v>
      </c>
      <c r="E230" s="7">
        <f t="shared" si="14"/>
        <v>12.15</v>
      </c>
      <c r="F230" s="11">
        <f t="shared" si="15"/>
        <v>1117.2485839999999</v>
      </c>
    </row>
    <row r="231" spans="1:6" x14ac:dyDescent="0.4">
      <c r="A231" s="5">
        <f t="shared" si="17"/>
        <v>229</v>
      </c>
      <c r="B231" s="6">
        <f>WORKDAY(B230,1,Feriados!$A$1:$A$936)</f>
        <v>45229</v>
      </c>
      <c r="C231" s="4">
        <f t="shared" si="13"/>
        <v>13.65</v>
      </c>
      <c r="D231" s="7">
        <v>0</v>
      </c>
      <c r="E231" s="7">
        <f t="shared" si="14"/>
        <v>12.15</v>
      </c>
      <c r="F231" s="11">
        <f t="shared" si="15"/>
        <v>1117.757079</v>
      </c>
    </row>
    <row r="232" spans="1:6" x14ac:dyDescent="0.4">
      <c r="A232" s="5">
        <f t="shared" si="17"/>
        <v>230</v>
      </c>
      <c r="B232" s="6">
        <f>WORKDAY(B231,1,Feriados!$A$1:$A$936)</f>
        <v>45230</v>
      </c>
      <c r="C232" s="4">
        <f t="shared" si="13"/>
        <v>13.65</v>
      </c>
      <c r="D232" s="7">
        <v>0</v>
      </c>
      <c r="E232" s="7">
        <f t="shared" si="14"/>
        <v>12.15</v>
      </c>
      <c r="F232" s="11">
        <f t="shared" si="15"/>
        <v>1118.2658060000001</v>
      </c>
    </row>
    <row r="233" spans="1:6" x14ac:dyDescent="0.4">
      <c r="A233" s="5">
        <f t="shared" si="17"/>
        <v>231</v>
      </c>
      <c r="B233" s="6">
        <f>WORKDAY(B232,1,Feriados!$A$1:$A$936)</f>
        <v>45231</v>
      </c>
      <c r="C233" s="4">
        <f t="shared" si="13"/>
        <v>13.65</v>
      </c>
      <c r="D233" s="7">
        <v>0</v>
      </c>
      <c r="E233" s="7">
        <f t="shared" si="14"/>
        <v>12.15</v>
      </c>
      <c r="F233" s="11">
        <f t="shared" si="15"/>
        <v>1118.774764</v>
      </c>
    </row>
    <row r="234" spans="1:6" x14ac:dyDescent="0.4">
      <c r="A234" s="5">
        <f t="shared" si="17"/>
        <v>232</v>
      </c>
      <c r="B234" s="6">
        <f>WORKDAY(B233,1,Feriados!$A$1:$A$936)</f>
        <v>45233</v>
      </c>
      <c r="C234" s="4">
        <f t="shared" si="13"/>
        <v>13.65</v>
      </c>
      <c r="D234" s="7">
        <v>0</v>
      </c>
      <c r="E234" s="7">
        <f t="shared" si="14"/>
        <v>12.15</v>
      </c>
      <c r="F234" s="11">
        <f t="shared" si="15"/>
        <v>1119.283954</v>
      </c>
    </row>
    <row r="235" spans="1:6" x14ac:dyDescent="0.4">
      <c r="A235" s="5">
        <f t="shared" si="17"/>
        <v>233</v>
      </c>
      <c r="B235" s="6">
        <f>WORKDAY(B234,1,Feriados!$A$1:$A$936)</f>
        <v>45236</v>
      </c>
      <c r="C235" s="4">
        <f t="shared" si="13"/>
        <v>13.65</v>
      </c>
      <c r="D235" s="7">
        <v>0</v>
      </c>
      <c r="E235" s="7">
        <f t="shared" si="14"/>
        <v>12.15</v>
      </c>
      <c r="F235" s="11">
        <f t="shared" si="15"/>
        <v>1119.7933760000001</v>
      </c>
    </row>
    <row r="236" spans="1:6" x14ac:dyDescent="0.4">
      <c r="A236" s="5">
        <f t="shared" si="17"/>
        <v>234</v>
      </c>
      <c r="B236" s="6">
        <f>WORKDAY(B235,1,Feriados!$A$1:$A$936)</f>
        <v>45237</v>
      </c>
      <c r="C236" s="4">
        <f t="shared" si="13"/>
        <v>13.65</v>
      </c>
      <c r="D236" s="7">
        <v>0</v>
      </c>
      <c r="E236" s="7">
        <f t="shared" si="14"/>
        <v>12.15</v>
      </c>
      <c r="F236" s="11">
        <f t="shared" si="15"/>
        <v>1120.3030289999999</v>
      </c>
    </row>
    <row r="237" spans="1:6" x14ac:dyDescent="0.4">
      <c r="A237" s="5">
        <f t="shared" si="17"/>
        <v>235</v>
      </c>
      <c r="B237" s="6">
        <f>WORKDAY(B236,1,Feriados!$A$1:$A$936)</f>
        <v>45238</v>
      </c>
      <c r="C237" s="4">
        <f t="shared" si="13"/>
        <v>13.65</v>
      </c>
      <c r="D237" s="7">
        <v>0</v>
      </c>
      <c r="E237" s="7">
        <f t="shared" si="14"/>
        <v>12.15</v>
      </c>
      <c r="F237" s="11">
        <f t="shared" si="15"/>
        <v>1120.8129140000001</v>
      </c>
    </row>
    <row r="238" spans="1:6" x14ac:dyDescent="0.4">
      <c r="A238" s="5">
        <f t="shared" si="17"/>
        <v>236</v>
      </c>
      <c r="B238" s="6">
        <f>WORKDAY(B237,1,Feriados!$A$1:$A$936)</f>
        <v>45239</v>
      </c>
      <c r="C238" s="4">
        <f t="shared" si="13"/>
        <v>13.65</v>
      </c>
      <c r="D238" s="7">
        <v>0</v>
      </c>
      <c r="E238" s="7">
        <f t="shared" si="14"/>
        <v>12.15</v>
      </c>
      <c r="F238" s="11">
        <f t="shared" si="15"/>
        <v>1121.3230309999999</v>
      </c>
    </row>
    <row r="239" spans="1:6" x14ac:dyDescent="0.4">
      <c r="A239" s="5">
        <f t="shared" si="17"/>
        <v>237</v>
      </c>
      <c r="B239" s="6">
        <f>WORKDAY(B238,1,Feriados!$A$1:$A$936)</f>
        <v>45240</v>
      </c>
      <c r="C239" s="4">
        <f t="shared" si="13"/>
        <v>13.65</v>
      </c>
      <c r="D239" s="7">
        <v>0</v>
      </c>
      <c r="E239" s="7">
        <f t="shared" si="14"/>
        <v>12.15</v>
      </c>
      <c r="F239" s="11">
        <f t="shared" si="15"/>
        <v>1121.8333809999999</v>
      </c>
    </row>
    <row r="240" spans="1:6" x14ac:dyDescent="0.4">
      <c r="A240" s="5">
        <f t="shared" si="17"/>
        <v>238</v>
      </c>
      <c r="B240" s="6">
        <f>WORKDAY(B239,1,Feriados!$A$1:$A$936)</f>
        <v>45243</v>
      </c>
      <c r="C240" s="4">
        <f t="shared" si="13"/>
        <v>13.65</v>
      </c>
      <c r="D240" s="7">
        <v>0</v>
      </c>
      <c r="E240" s="7">
        <f t="shared" si="14"/>
        <v>12.15</v>
      </c>
      <c r="F240" s="11">
        <f t="shared" si="15"/>
        <v>1122.343963</v>
      </c>
    </row>
    <row r="241" spans="1:6" x14ac:dyDescent="0.4">
      <c r="A241" s="5">
        <f t="shared" si="17"/>
        <v>239</v>
      </c>
      <c r="B241" s="6">
        <f>WORKDAY(B240,1,Feriados!$A$1:$A$936)</f>
        <v>45244</v>
      </c>
      <c r="C241" s="4">
        <f t="shared" si="13"/>
        <v>13.65</v>
      </c>
      <c r="D241" s="7">
        <v>0</v>
      </c>
      <c r="E241" s="7">
        <f t="shared" si="14"/>
        <v>12.15</v>
      </c>
      <c r="F241" s="11">
        <f t="shared" si="15"/>
        <v>1122.854777</v>
      </c>
    </row>
    <row r="242" spans="1:6" x14ac:dyDescent="0.4">
      <c r="A242" s="5">
        <f t="shared" si="17"/>
        <v>240</v>
      </c>
      <c r="B242" s="6">
        <f>WORKDAY(B241,1,Feriados!$A$1:$A$936)</f>
        <v>45246</v>
      </c>
      <c r="C242" s="4">
        <f t="shared" si="13"/>
        <v>13.65</v>
      </c>
      <c r="D242" s="7">
        <v>0</v>
      </c>
      <c r="E242" s="7">
        <f t="shared" si="14"/>
        <v>12.15</v>
      </c>
      <c r="F242" s="11">
        <f t="shared" si="15"/>
        <v>1123.365824</v>
      </c>
    </row>
    <row r="243" spans="1:6" x14ac:dyDescent="0.4">
      <c r="A243" s="5">
        <f t="shared" si="17"/>
        <v>241</v>
      </c>
      <c r="B243" s="6">
        <f>WORKDAY(B242,1,Feriados!$A$1:$A$936)</f>
        <v>45247</v>
      </c>
      <c r="C243" s="4">
        <f t="shared" si="13"/>
        <v>13.65</v>
      </c>
      <c r="D243" s="7">
        <v>0</v>
      </c>
      <c r="E243" s="7">
        <f t="shared" si="14"/>
        <v>12.15</v>
      </c>
      <c r="F243" s="11">
        <f t="shared" si="15"/>
        <v>1123.877103</v>
      </c>
    </row>
    <row r="244" spans="1:6" x14ac:dyDescent="0.4">
      <c r="A244" s="5">
        <f t="shared" si="17"/>
        <v>242</v>
      </c>
      <c r="B244" s="6">
        <f>WORKDAY(B243,1,Feriados!$A$1:$A$936)</f>
        <v>45250</v>
      </c>
      <c r="C244" s="4">
        <f t="shared" si="13"/>
        <v>13.65</v>
      </c>
      <c r="D244" s="7">
        <v>0</v>
      </c>
      <c r="E244" s="7">
        <f t="shared" si="14"/>
        <v>12.15</v>
      </c>
      <c r="F244" s="11">
        <f t="shared" si="15"/>
        <v>1124.3886150000001</v>
      </c>
    </row>
    <row r="245" spans="1:6" x14ac:dyDescent="0.4">
      <c r="A245" s="5">
        <f t="shared" si="17"/>
        <v>243</v>
      </c>
      <c r="B245" s="6">
        <f>WORKDAY(B244,1,Feriados!$A$1:$A$936)</f>
        <v>45251</v>
      </c>
      <c r="C245" s="4">
        <f t="shared" si="13"/>
        <v>13.65</v>
      </c>
      <c r="D245" s="7">
        <v>0</v>
      </c>
      <c r="E245" s="7">
        <f t="shared" si="14"/>
        <v>12.15</v>
      </c>
      <c r="F245" s="11">
        <f t="shared" si="15"/>
        <v>1124.9003600000001</v>
      </c>
    </row>
    <row r="246" spans="1:6" x14ac:dyDescent="0.4">
      <c r="A246" s="5">
        <f t="shared" si="17"/>
        <v>244</v>
      </c>
      <c r="B246" s="6">
        <f>WORKDAY(B245,1,Feriados!$A$1:$A$936)</f>
        <v>45252</v>
      </c>
      <c r="C246" s="4">
        <f t="shared" si="13"/>
        <v>13.65</v>
      </c>
      <c r="D246" s="7">
        <v>0</v>
      </c>
      <c r="E246" s="7">
        <f t="shared" si="14"/>
        <v>12.15</v>
      </c>
      <c r="F246" s="11">
        <f t="shared" si="15"/>
        <v>1125.4123380000001</v>
      </c>
    </row>
    <row r="247" spans="1:6" x14ac:dyDescent="0.4">
      <c r="A247" s="5">
        <f t="shared" si="17"/>
        <v>245</v>
      </c>
      <c r="B247" s="6">
        <f>WORKDAY(B246,1,Feriados!$A$1:$A$936)</f>
        <v>45253</v>
      </c>
      <c r="C247" s="4">
        <f t="shared" si="13"/>
        <v>13.65</v>
      </c>
      <c r="D247" s="7">
        <v>0</v>
      </c>
      <c r="E247" s="7">
        <f t="shared" si="14"/>
        <v>12.15</v>
      </c>
      <c r="F247" s="11">
        <f t="shared" si="15"/>
        <v>1125.9245490000001</v>
      </c>
    </row>
    <row r="248" spans="1:6" x14ac:dyDescent="0.4">
      <c r="A248" s="5">
        <f t="shared" si="17"/>
        <v>246</v>
      </c>
      <c r="B248" s="6">
        <f>WORKDAY(B247,1,Feriados!$A$1:$A$936)</f>
        <v>45254</v>
      </c>
      <c r="C248" s="4">
        <f t="shared" si="13"/>
        <v>13.65</v>
      </c>
      <c r="D248" s="7">
        <v>0</v>
      </c>
      <c r="E248" s="7">
        <f t="shared" si="14"/>
        <v>12.15</v>
      </c>
      <c r="F248" s="11">
        <f t="shared" si="15"/>
        <v>1126.436993</v>
      </c>
    </row>
    <row r="249" spans="1:6" x14ac:dyDescent="0.4">
      <c r="A249" s="5">
        <f t="shared" si="17"/>
        <v>247</v>
      </c>
      <c r="B249" s="6">
        <f>WORKDAY(B248,1,Feriados!$A$1:$A$936)</f>
        <v>45257</v>
      </c>
      <c r="C249" s="4">
        <f t="shared" si="13"/>
        <v>13.65</v>
      </c>
      <c r="D249" s="7">
        <v>0</v>
      </c>
      <c r="E249" s="7">
        <f t="shared" si="14"/>
        <v>12.15</v>
      </c>
      <c r="F249" s="11">
        <f t="shared" si="15"/>
        <v>1126.94967</v>
      </c>
    </row>
    <row r="250" spans="1:6" x14ac:dyDescent="0.4">
      <c r="A250" s="5">
        <f t="shared" si="17"/>
        <v>248</v>
      </c>
      <c r="B250" s="6">
        <f>WORKDAY(B249,1,Feriados!$A$1:$A$936)</f>
        <v>45258</v>
      </c>
      <c r="C250" s="4">
        <f t="shared" si="13"/>
        <v>13.65</v>
      </c>
      <c r="D250" s="7">
        <v>0</v>
      </c>
      <c r="E250" s="7">
        <f t="shared" si="14"/>
        <v>12.15</v>
      </c>
      <c r="F250" s="11">
        <f t="shared" si="15"/>
        <v>1127.4625799999999</v>
      </c>
    </row>
    <row r="251" spans="1:6" x14ac:dyDescent="0.4">
      <c r="A251" s="5">
        <f t="shared" si="17"/>
        <v>249</v>
      </c>
      <c r="B251" s="6">
        <f>WORKDAY(B250,1,Feriados!$A$1:$A$936)</f>
        <v>45259</v>
      </c>
      <c r="C251" s="4">
        <f t="shared" si="13"/>
        <v>13.65</v>
      </c>
      <c r="D251" s="7">
        <v>0</v>
      </c>
      <c r="E251" s="7">
        <f t="shared" si="14"/>
        <v>12.15</v>
      </c>
      <c r="F251" s="11">
        <f t="shared" si="15"/>
        <v>1127.9757239999999</v>
      </c>
    </row>
    <row r="252" spans="1:6" x14ac:dyDescent="0.4">
      <c r="A252" s="5">
        <f t="shared" si="17"/>
        <v>250</v>
      </c>
      <c r="B252" s="6">
        <f>WORKDAY(B251,1,Feriados!$A$1:$A$936)</f>
        <v>45260</v>
      </c>
      <c r="C252" s="4">
        <f t="shared" si="13"/>
        <v>13.65</v>
      </c>
      <c r="D252" s="7">
        <v>0</v>
      </c>
      <c r="E252" s="7">
        <f t="shared" si="14"/>
        <v>12.15</v>
      </c>
      <c r="F252" s="11">
        <f t="shared" si="15"/>
        <v>1128.4891009999999</v>
      </c>
    </row>
    <row r="253" spans="1:6" x14ac:dyDescent="0.4">
      <c r="A253" s="5">
        <f t="shared" si="17"/>
        <v>251</v>
      </c>
      <c r="B253" s="6">
        <f>WORKDAY(B252,1,Feriados!$A$1:$A$936)</f>
        <v>45261</v>
      </c>
      <c r="C253" s="4">
        <f t="shared" si="13"/>
        <v>13.65</v>
      </c>
      <c r="D253" s="7">
        <v>0</v>
      </c>
      <c r="E253" s="7">
        <f t="shared" si="14"/>
        <v>12.15</v>
      </c>
      <c r="F253" s="11">
        <f t="shared" si="15"/>
        <v>1129.002712</v>
      </c>
    </row>
    <row r="254" spans="1:6" x14ac:dyDescent="0.4">
      <c r="A254" s="5">
        <f t="shared" si="17"/>
        <v>252</v>
      </c>
      <c r="B254" s="6">
        <f>WORKDAY(B253,1,Feriados!$A$1:$A$936)</f>
        <v>45264</v>
      </c>
      <c r="C254" s="4">
        <f t="shared" si="13"/>
        <v>13.65</v>
      </c>
      <c r="D254" s="7">
        <v>0</v>
      </c>
      <c r="E254" s="7">
        <f t="shared" si="14"/>
        <v>12.15</v>
      </c>
      <c r="F254" s="11">
        <f t="shared" si="15"/>
        <v>1129.5165569999999</v>
      </c>
    </row>
    <row r="255" spans="1:6" x14ac:dyDescent="0.4">
      <c r="A255" s="5">
        <f t="shared" si="17"/>
        <v>253</v>
      </c>
      <c r="B255" s="6">
        <f>WORKDAY(B254,1,Feriados!$A$1:$A$936)</f>
        <v>45265</v>
      </c>
      <c r="C255" s="4">
        <f t="shared" si="13"/>
        <v>13.65</v>
      </c>
      <c r="D255" s="7">
        <v>0</v>
      </c>
      <c r="E255" s="7">
        <f t="shared" si="14"/>
        <v>12.15</v>
      </c>
      <c r="F255" s="11">
        <f t="shared" si="15"/>
        <v>1130.030636</v>
      </c>
    </row>
    <row r="256" spans="1:6" x14ac:dyDescent="0.4">
      <c r="A256" s="5">
        <f t="shared" si="17"/>
        <v>254</v>
      </c>
      <c r="B256" s="72">
        <f>WORKDAY(B255,1,Feriados!$A$1:$A$936)</f>
        <v>45266</v>
      </c>
      <c r="C256" s="73">
        <f t="shared" si="13"/>
        <v>13.65</v>
      </c>
      <c r="D256" s="74">
        <f>VLOOKUP(B256,$I$10:$J$19,2,FALSE)/100</f>
        <v>0</v>
      </c>
      <c r="E256" s="74">
        <f t="shared" si="14"/>
        <v>12.15</v>
      </c>
      <c r="F256" s="11">
        <f t="shared" si="15"/>
        <v>1130.5449490000001</v>
      </c>
    </row>
    <row r="257" spans="1:6" x14ac:dyDescent="0.4">
      <c r="A257" s="5">
        <f t="shared" si="17"/>
        <v>255</v>
      </c>
      <c r="B257" s="6">
        <f>WORKDAY(B256,1,Feriados!$A$1:$A$936)</f>
        <v>45267</v>
      </c>
      <c r="C257" s="4">
        <f t="shared" si="13"/>
        <v>13.65</v>
      </c>
      <c r="D257" s="7">
        <v>0</v>
      </c>
      <c r="E257" s="7">
        <f t="shared" si="14"/>
        <v>12.15</v>
      </c>
      <c r="F257" s="11">
        <f t="shared" si="15"/>
        <v>1131.0594960000001</v>
      </c>
    </row>
    <row r="258" spans="1:6" x14ac:dyDescent="0.4">
      <c r="A258" s="5">
        <f t="shared" si="17"/>
        <v>256</v>
      </c>
      <c r="B258" s="6">
        <f>WORKDAY(B257,1,Feriados!$A$1:$A$936)</f>
        <v>45268</v>
      </c>
      <c r="C258" s="4">
        <f t="shared" si="13"/>
        <v>13.65</v>
      </c>
      <c r="D258" s="7">
        <v>0</v>
      </c>
      <c r="E258" s="7">
        <f t="shared" si="14"/>
        <v>12.15</v>
      </c>
      <c r="F258" s="11">
        <f t="shared" si="15"/>
        <v>1131.5742769999999</v>
      </c>
    </row>
    <row r="259" spans="1:6" x14ac:dyDescent="0.4">
      <c r="A259" s="5">
        <f t="shared" si="17"/>
        <v>257</v>
      </c>
      <c r="B259" s="6">
        <f>WORKDAY(B258,1,Feriados!$A$1:$A$936)</f>
        <v>45271</v>
      </c>
      <c r="C259" s="4">
        <f t="shared" si="13"/>
        <v>13.65</v>
      </c>
      <c r="D259" s="7">
        <v>0</v>
      </c>
      <c r="E259" s="7">
        <f t="shared" si="14"/>
        <v>12.15</v>
      </c>
      <c r="F259" s="11">
        <f t="shared" si="15"/>
        <v>1132.0892919999999</v>
      </c>
    </row>
    <row r="260" spans="1:6" x14ac:dyDescent="0.4">
      <c r="A260" s="5">
        <f t="shared" si="17"/>
        <v>258</v>
      </c>
      <c r="B260" s="6">
        <f>WORKDAY(B259,1,Feriados!$A$1:$A$936)</f>
        <v>45272</v>
      </c>
      <c r="C260" s="4">
        <f t="shared" ref="C260:C273" si="18">+C259</f>
        <v>13.65</v>
      </c>
      <c r="D260" s="7">
        <v>0</v>
      </c>
      <c r="E260" s="7">
        <f t="shared" ref="E260:E273" si="19">+E259+D260</f>
        <v>12.15</v>
      </c>
      <c r="F260" s="11">
        <f t="shared" ref="F260:F273" si="20">+ROUND(((1+E259/100)^(1/252))*F259,6)</f>
        <v>1132.604542</v>
      </c>
    </row>
    <row r="261" spans="1:6" x14ac:dyDescent="0.4">
      <c r="A261" s="5">
        <f t="shared" si="17"/>
        <v>259</v>
      </c>
      <c r="B261" s="6">
        <f>WORKDAY(B260,1,Feriados!$A$1:$A$936)</f>
        <v>45273</v>
      </c>
      <c r="C261" s="4">
        <f t="shared" si="18"/>
        <v>13.65</v>
      </c>
      <c r="D261" s="7">
        <v>0</v>
      </c>
      <c r="E261" s="7">
        <f t="shared" si="19"/>
        <v>12.15</v>
      </c>
      <c r="F261" s="11">
        <f t="shared" si="20"/>
        <v>1133.1200260000001</v>
      </c>
    </row>
    <row r="262" spans="1:6" x14ac:dyDescent="0.4">
      <c r="A262" s="5">
        <f t="shared" si="17"/>
        <v>260</v>
      </c>
      <c r="B262" s="6">
        <f>WORKDAY(B261,1,Feriados!$A$1:$A$936)</f>
        <v>45274</v>
      </c>
      <c r="C262" s="4">
        <f t="shared" si="18"/>
        <v>13.65</v>
      </c>
      <c r="D262" s="7">
        <v>0</v>
      </c>
      <c r="E262" s="7">
        <f t="shared" si="19"/>
        <v>12.15</v>
      </c>
      <c r="F262" s="11">
        <f t="shared" si="20"/>
        <v>1133.635745</v>
      </c>
    </row>
    <row r="263" spans="1:6" x14ac:dyDescent="0.4">
      <c r="A263" s="5">
        <f t="shared" si="17"/>
        <v>261</v>
      </c>
      <c r="B263" s="6">
        <f>WORKDAY(B262,1,Feriados!$A$1:$A$936)</f>
        <v>45275</v>
      </c>
      <c r="C263" s="4">
        <f t="shared" si="18"/>
        <v>13.65</v>
      </c>
      <c r="D263" s="7">
        <v>0</v>
      </c>
      <c r="E263" s="7">
        <f t="shared" si="19"/>
        <v>12.15</v>
      </c>
      <c r="F263" s="11">
        <f t="shared" si="20"/>
        <v>1134.1516979999999</v>
      </c>
    </row>
    <row r="264" spans="1:6" x14ac:dyDescent="0.4">
      <c r="A264" s="5">
        <f t="shared" si="17"/>
        <v>262</v>
      </c>
      <c r="B264" s="6">
        <f>WORKDAY(B263,1,Feriados!$A$1:$A$936)</f>
        <v>45278</v>
      </c>
      <c r="C264" s="4">
        <f t="shared" si="18"/>
        <v>13.65</v>
      </c>
      <c r="D264" s="7">
        <v>0</v>
      </c>
      <c r="E264" s="7">
        <f t="shared" si="19"/>
        <v>12.15</v>
      </c>
      <c r="F264" s="11">
        <f t="shared" si="20"/>
        <v>1134.667886</v>
      </c>
    </row>
    <row r="265" spans="1:6" x14ac:dyDescent="0.4">
      <c r="A265" s="5">
        <f t="shared" si="17"/>
        <v>263</v>
      </c>
      <c r="B265" s="6">
        <f>WORKDAY(B264,1,Feriados!$A$1:$A$936)</f>
        <v>45279</v>
      </c>
      <c r="C265" s="4">
        <f t="shared" si="18"/>
        <v>13.65</v>
      </c>
      <c r="D265" s="7">
        <v>0</v>
      </c>
      <c r="E265" s="7">
        <f t="shared" si="19"/>
        <v>12.15</v>
      </c>
      <c r="F265" s="11">
        <f t="shared" si="20"/>
        <v>1135.184309</v>
      </c>
    </row>
    <row r="266" spans="1:6" x14ac:dyDescent="0.4">
      <c r="A266" s="5">
        <f t="shared" si="17"/>
        <v>264</v>
      </c>
      <c r="B266" s="6">
        <f>WORKDAY(B265,1,Feriados!$A$1:$A$936)</f>
        <v>45280</v>
      </c>
      <c r="C266" s="4">
        <f t="shared" si="18"/>
        <v>13.65</v>
      </c>
      <c r="D266" s="7">
        <v>0</v>
      </c>
      <c r="E266" s="7">
        <f t="shared" si="19"/>
        <v>12.15</v>
      </c>
      <c r="F266" s="11">
        <f t="shared" si="20"/>
        <v>1135.700967</v>
      </c>
    </row>
    <row r="267" spans="1:6" x14ac:dyDescent="0.4">
      <c r="A267" s="5">
        <f t="shared" si="17"/>
        <v>265</v>
      </c>
      <c r="B267" s="6">
        <f>WORKDAY(B266,1,Feriados!$A$1:$A$936)</f>
        <v>45281</v>
      </c>
      <c r="C267" s="4">
        <f t="shared" si="18"/>
        <v>13.65</v>
      </c>
      <c r="D267" s="7">
        <v>0</v>
      </c>
      <c r="E267" s="7">
        <f t="shared" si="19"/>
        <v>12.15</v>
      </c>
      <c r="F267" s="11">
        <f t="shared" si="20"/>
        <v>1136.21786</v>
      </c>
    </row>
    <row r="268" spans="1:6" x14ac:dyDescent="0.4">
      <c r="A268" s="5">
        <f t="shared" si="17"/>
        <v>266</v>
      </c>
      <c r="B268" s="6">
        <f>WORKDAY(B267,1,Feriados!$A$1:$A$936)</f>
        <v>45282</v>
      </c>
      <c r="C268" s="4">
        <f t="shared" si="18"/>
        <v>13.65</v>
      </c>
      <c r="D268" s="7">
        <v>0</v>
      </c>
      <c r="E268" s="7">
        <f t="shared" si="19"/>
        <v>12.15</v>
      </c>
      <c r="F268" s="11">
        <f t="shared" si="20"/>
        <v>1136.734989</v>
      </c>
    </row>
    <row r="269" spans="1:6" x14ac:dyDescent="0.4">
      <c r="A269" s="5">
        <f t="shared" si="17"/>
        <v>267</v>
      </c>
      <c r="B269" s="6">
        <f>WORKDAY(B268,1,Feriados!$A$1:$A$936)</f>
        <v>45286</v>
      </c>
      <c r="C269" s="4">
        <f t="shared" si="18"/>
        <v>13.65</v>
      </c>
      <c r="D269" s="7">
        <v>0</v>
      </c>
      <c r="E269" s="7">
        <f t="shared" si="19"/>
        <v>12.15</v>
      </c>
      <c r="F269" s="11">
        <f t="shared" si="20"/>
        <v>1137.2523530000001</v>
      </c>
    </row>
    <row r="270" spans="1:6" x14ac:dyDescent="0.4">
      <c r="A270" s="5">
        <f t="shared" si="17"/>
        <v>268</v>
      </c>
      <c r="B270" s="6">
        <f>WORKDAY(B269,1,Feriados!$A$1:$A$936)</f>
        <v>45287</v>
      </c>
      <c r="C270" s="4">
        <f t="shared" si="18"/>
        <v>13.65</v>
      </c>
      <c r="D270" s="7">
        <v>0</v>
      </c>
      <c r="E270" s="7">
        <f t="shared" si="19"/>
        <v>12.15</v>
      </c>
      <c r="F270" s="11">
        <f t="shared" si="20"/>
        <v>1137.769953</v>
      </c>
    </row>
    <row r="271" spans="1:6" x14ac:dyDescent="0.4">
      <c r="A271" s="5">
        <f t="shared" si="17"/>
        <v>269</v>
      </c>
      <c r="B271" s="6">
        <f>WORKDAY(B270,1,Feriados!$A$1:$A$936)</f>
        <v>45288</v>
      </c>
      <c r="C271" s="4">
        <f t="shared" si="18"/>
        <v>13.65</v>
      </c>
      <c r="D271" s="7">
        <v>0</v>
      </c>
      <c r="E271" s="7">
        <f t="shared" si="19"/>
        <v>12.15</v>
      </c>
      <c r="F271" s="11">
        <f t="shared" si="20"/>
        <v>1138.2877880000001</v>
      </c>
    </row>
    <row r="272" spans="1:6" x14ac:dyDescent="0.4">
      <c r="A272" s="5">
        <f t="shared" si="17"/>
        <v>270</v>
      </c>
      <c r="B272" s="6">
        <f>WORKDAY(B271,1,Feriados!$A$1:$A$936)</f>
        <v>45289</v>
      </c>
      <c r="C272" s="4">
        <f t="shared" si="18"/>
        <v>13.65</v>
      </c>
      <c r="D272" s="7">
        <v>0</v>
      </c>
      <c r="E272" s="7">
        <f t="shared" si="19"/>
        <v>12.15</v>
      </c>
      <c r="F272" s="11">
        <f t="shared" si="20"/>
        <v>1138.8058590000001</v>
      </c>
    </row>
    <row r="273" spans="1:6" x14ac:dyDescent="0.4">
      <c r="A273" s="63">
        <f t="shared" si="17"/>
        <v>271</v>
      </c>
      <c r="B273" s="64">
        <f>WORKDAY(B272,1,Feriados!$A$1:$A$936)</f>
        <v>45293</v>
      </c>
      <c r="C273" s="65">
        <f t="shared" si="18"/>
        <v>13.65</v>
      </c>
      <c r="D273" s="66">
        <v>0</v>
      </c>
      <c r="E273" s="66">
        <f t="shared" si="19"/>
        <v>12.15</v>
      </c>
      <c r="F273" s="67">
        <f t="shared" si="20"/>
        <v>1139.3241660000001</v>
      </c>
    </row>
    <row r="274" spans="1:6" x14ac:dyDescent="0.4">
      <c r="A274" s="5"/>
      <c r="B274" s="6"/>
    </row>
    <row r="275" spans="1:6" x14ac:dyDescent="0.4">
      <c r="A275" s="5"/>
      <c r="B275" s="6"/>
    </row>
    <row r="276" spans="1:6" x14ac:dyDescent="0.4">
      <c r="A276" s="5"/>
      <c r="B276" s="6"/>
    </row>
    <row r="277" spans="1:6" x14ac:dyDescent="0.4">
      <c r="A277" s="5"/>
      <c r="B277" s="6"/>
    </row>
    <row r="278" spans="1:6" x14ac:dyDescent="0.4">
      <c r="A278" s="5"/>
      <c r="B278" s="6"/>
    </row>
    <row r="279" spans="1:6" x14ac:dyDescent="0.4">
      <c r="A279" s="5"/>
      <c r="B279" s="6"/>
    </row>
    <row r="280" spans="1:6" x14ac:dyDescent="0.4">
      <c r="A280" s="5"/>
      <c r="B280" s="6"/>
    </row>
    <row r="281" spans="1:6" x14ac:dyDescent="0.4">
      <c r="A281" s="5"/>
      <c r="B281" s="6"/>
    </row>
    <row r="282" spans="1:6" x14ac:dyDescent="0.4">
      <c r="A282" s="5"/>
      <c r="B282" s="6"/>
    </row>
    <row r="283" spans="1:6" x14ac:dyDescent="0.4">
      <c r="A283" s="5"/>
      <c r="B283" s="6"/>
    </row>
    <row r="284" spans="1:6" x14ac:dyDescent="0.4">
      <c r="A284" s="5"/>
      <c r="B284" s="6"/>
    </row>
    <row r="285" spans="1:6" x14ac:dyDescent="0.4">
      <c r="A285" s="5"/>
      <c r="B285" s="6"/>
    </row>
    <row r="286" spans="1:6" x14ac:dyDescent="0.4">
      <c r="A286" s="5"/>
      <c r="B286" s="6"/>
    </row>
    <row r="287" spans="1:6" x14ac:dyDescent="0.4">
      <c r="A287" s="5"/>
      <c r="B287" s="6"/>
    </row>
    <row r="288" spans="1:6" x14ac:dyDescent="0.4">
      <c r="A288" s="5"/>
      <c r="B288" s="6"/>
    </row>
    <row r="289" spans="1:2" x14ac:dyDescent="0.4">
      <c r="A289" s="5"/>
      <c r="B289" s="6"/>
    </row>
  </sheetData>
  <phoneticPr fontId="42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5C0CD-474E-4334-894B-08FAE1D2929C}">
  <dimension ref="A1:M49"/>
  <sheetViews>
    <sheetView workbookViewId="0">
      <selection activeCell="C3" sqref="C3"/>
    </sheetView>
  </sheetViews>
  <sheetFormatPr defaultRowHeight="15.6" x14ac:dyDescent="0.3"/>
  <cols>
    <col min="1" max="1" width="15.77734375" bestFit="1" customWidth="1"/>
    <col min="2" max="2" width="20.33203125" bestFit="1" customWidth="1"/>
    <col min="3" max="3" width="19.5546875" customWidth="1"/>
    <col min="4" max="4" width="22.5546875" bestFit="1" customWidth="1"/>
    <col min="5" max="5" width="22" customWidth="1"/>
    <col min="6" max="6" width="20.21875" customWidth="1"/>
    <col min="7" max="7" width="6.88671875" bestFit="1" customWidth="1"/>
    <col min="8" max="8" width="10.44140625" style="2" bestFit="1" customWidth="1"/>
    <col min="9" max="9" width="7.21875" bestFit="1" customWidth="1"/>
    <col min="10" max="10" width="11.5546875" bestFit="1" customWidth="1"/>
    <col min="15" max="15" width="33.77734375" bestFit="1" customWidth="1"/>
  </cols>
  <sheetData>
    <row r="1" spans="1:13" ht="31.8" customHeight="1" x14ac:dyDescent="0.3">
      <c r="A1" s="91" t="s">
        <v>172</v>
      </c>
      <c r="B1" s="91" t="s">
        <v>173</v>
      </c>
      <c r="C1" s="91" t="s">
        <v>174</v>
      </c>
      <c r="D1" s="91" t="s">
        <v>178</v>
      </c>
      <c r="E1" s="91" t="s">
        <v>179</v>
      </c>
      <c r="F1" s="91" t="s">
        <v>175</v>
      </c>
      <c r="G1" s="77" t="s">
        <v>176</v>
      </c>
      <c r="H1" s="85" t="s">
        <v>177</v>
      </c>
      <c r="I1" s="76" t="s">
        <v>180</v>
      </c>
      <c r="J1" s="76" t="s">
        <v>181</v>
      </c>
      <c r="L1" s="85" t="s">
        <v>177</v>
      </c>
      <c r="M1" s="76" t="s">
        <v>180</v>
      </c>
    </row>
    <row r="2" spans="1:13" ht="15" x14ac:dyDescent="0.3">
      <c r="A2" s="90">
        <v>44501</v>
      </c>
      <c r="B2" s="90">
        <v>44564</v>
      </c>
      <c r="C2" s="84">
        <f>+ROUND((100000/(1+H2/100)^(G2/252)),2)</f>
        <v>98636.23</v>
      </c>
      <c r="D2" s="88"/>
      <c r="E2" s="88"/>
      <c r="F2" s="89"/>
      <c r="G2" s="78">
        <f>NETWORKDAYS(A2,B2-1,Feriados!$A$2:$A$2000)</f>
        <v>43</v>
      </c>
      <c r="H2" s="86">
        <v>8.3800000000000008</v>
      </c>
      <c r="I2" s="87">
        <v>7.65</v>
      </c>
      <c r="J2" s="80">
        <f>TRUNC(+(1+I2/100)^(1/252),7)</f>
        <v>1.0002925</v>
      </c>
      <c r="L2" s="86">
        <v>8.3800000000000008</v>
      </c>
      <c r="M2" s="87">
        <v>7.65</v>
      </c>
    </row>
    <row r="3" spans="1:13" ht="15" x14ac:dyDescent="0.3">
      <c r="A3" s="90">
        <v>44503</v>
      </c>
      <c r="B3" s="90">
        <v>44564</v>
      </c>
      <c r="C3" s="84">
        <f t="shared" ref="C3:C20" si="0">+ROUND((100000/(1+H3/100)^(G3/252)),2)</f>
        <v>98667.73</v>
      </c>
      <c r="D3" s="84">
        <f>+C2</f>
        <v>98636.23</v>
      </c>
      <c r="E3" s="84">
        <f>D3*J3</f>
        <v>98665.081097275004</v>
      </c>
      <c r="F3" s="93">
        <f t="shared" ref="F3:F20" si="1">ROUND(+C3-E3,2)</f>
        <v>2.65</v>
      </c>
      <c r="G3" s="78">
        <f>NETWORKDAYS(A3,B3-1,Feriados!$A$2:$A$2000)</f>
        <v>42</v>
      </c>
      <c r="H3" s="86">
        <v>8.3800000000000008</v>
      </c>
      <c r="I3" s="87">
        <v>7.65</v>
      </c>
      <c r="J3" s="80">
        <f>TRUNC(+(1+I3/100)^(1/252),7)</f>
        <v>1.0002925</v>
      </c>
      <c r="L3" s="86">
        <v>8.3800000000000008</v>
      </c>
      <c r="M3" s="87">
        <v>7.65</v>
      </c>
    </row>
    <row r="4" spans="1:13" ht="15" x14ac:dyDescent="0.3">
      <c r="A4" s="90">
        <v>44504</v>
      </c>
      <c r="B4" s="90">
        <v>44564</v>
      </c>
      <c r="C4" s="84">
        <f t="shared" si="0"/>
        <v>98698.06</v>
      </c>
      <c r="D4" s="84">
        <f t="shared" ref="D4:D20" si="2">+C3</f>
        <v>98667.73</v>
      </c>
      <c r="E4" s="84">
        <f t="shared" ref="E4:E20" si="3">ROUND(D4*J4,2)</f>
        <v>98696.59</v>
      </c>
      <c r="F4" s="93">
        <f t="shared" si="1"/>
        <v>1.47</v>
      </c>
      <c r="G4" s="78">
        <f>NETWORKDAYS(A4,B4-1,Feriados!$A$2:$A$2000)</f>
        <v>41</v>
      </c>
      <c r="H4" s="86">
        <v>8.3879999999999999</v>
      </c>
      <c r="I4" s="87">
        <v>7.65</v>
      </c>
      <c r="J4" s="80">
        <f t="shared" ref="J4:J20" si="4">TRUNC(+(1+I4/100)^(1/252),7)</f>
        <v>1.0002925</v>
      </c>
      <c r="L4" s="86">
        <v>8.3879999999999999</v>
      </c>
      <c r="M4" s="87">
        <v>7.65</v>
      </c>
    </row>
    <row r="5" spans="1:13" ht="15" x14ac:dyDescent="0.3">
      <c r="A5" s="90">
        <v>44505</v>
      </c>
      <c r="B5" s="90">
        <v>44564</v>
      </c>
      <c r="C5" s="84">
        <f t="shared" si="0"/>
        <v>98727.88</v>
      </c>
      <c r="D5" s="84">
        <f t="shared" si="2"/>
        <v>98698.06</v>
      </c>
      <c r="E5" s="84">
        <f t="shared" si="3"/>
        <v>98726.93</v>
      </c>
      <c r="F5" s="93">
        <f t="shared" si="1"/>
        <v>0.95</v>
      </c>
      <c r="G5" s="78">
        <f>NETWORKDAYS(A5,B5-1,Feriados!$A$2:$A$2000)</f>
        <v>40</v>
      </c>
      <c r="H5" s="86">
        <v>8.4</v>
      </c>
      <c r="I5" s="87">
        <v>7.65</v>
      </c>
      <c r="J5" s="80">
        <f t="shared" si="4"/>
        <v>1.0002925</v>
      </c>
      <c r="L5" s="86">
        <v>8.4</v>
      </c>
      <c r="M5" s="87">
        <v>7.65</v>
      </c>
    </row>
    <row r="6" spans="1:13" ht="15" x14ac:dyDescent="0.3">
      <c r="A6" s="90">
        <v>44508</v>
      </c>
      <c r="B6" s="90">
        <v>44564</v>
      </c>
      <c r="C6" s="84">
        <f t="shared" si="0"/>
        <v>98754.12</v>
      </c>
      <c r="D6" s="84">
        <f t="shared" si="2"/>
        <v>98727.88</v>
      </c>
      <c r="E6" s="84">
        <f t="shared" si="3"/>
        <v>98756.76</v>
      </c>
      <c r="F6" s="93">
        <f t="shared" si="1"/>
        <v>-2.64</v>
      </c>
      <c r="G6" s="78">
        <f>NETWORKDAYS(A6,B6-1,Feriados!$A$2:$A$2000)</f>
        <v>39</v>
      </c>
      <c r="H6" s="86">
        <v>8.4380000000000006</v>
      </c>
      <c r="I6" s="87">
        <v>7.65</v>
      </c>
      <c r="J6" s="80">
        <f t="shared" si="4"/>
        <v>1.0002925</v>
      </c>
      <c r="L6" s="86">
        <v>8.4380000000000006</v>
      </c>
      <c r="M6" s="87">
        <v>7.65</v>
      </c>
    </row>
    <row r="7" spans="1:13" ht="15" x14ac:dyDescent="0.3">
      <c r="A7" s="90">
        <v>44509</v>
      </c>
      <c r="B7" s="90">
        <v>44564</v>
      </c>
      <c r="C7" s="84">
        <f t="shared" si="0"/>
        <v>98784.23</v>
      </c>
      <c r="D7" s="84">
        <f t="shared" si="2"/>
        <v>98754.12</v>
      </c>
      <c r="E7" s="84">
        <f t="shared" si="3"/>
        <v>98783.01</v>
      </c>
      <c r="F7" s="93">
        <f t="shared" si="1"/>
        <v>1.22</v>
      </c>
      <c r="G7" s="78">
        <f>NETWORKDAYS(A7,B7-1,Feriados!$A$2:$A$2000)</f>
        <v>38</v>
      </c>
      <c r="H7" s="86">
        <v>8.4499999999999993</v>
      </c>
      <c r="I7" s="87">
        <v>7.65</v>
      </c>
      <c r="J7" s="80">
        <f t="shared" si="4"/>
        <v>1.0002925</v>
      </c>
      <c r="L7" s="86">
        <v>8.4499999999999993</v>
      </c>
      <c r="M7" s="87">
        <v>7.65</v>
      </c>
    </row>
    <row r="8" spans="1:13" ht="15" x14ac:dyDescent="0.3">
      <c r="A8" s="90">
        <v>44510</v>
      </c>
      <c r="B8" s="90">
        <v>44564</v>
      </c>
      <c r="C8" s="84">
        <f t="shared" si="0"/>
        <v>98811.48</v>
      </c>
      <c r="D8" s="84">
        <f t="shared" si="2"/>
        <v>98784.23</v>
      </c>
      <c r="E8" s="84">
        <f t="shared" si="3"/>
        <v>98813.119999999995</v>
      </c>
      <c r="F8" s="93">
        <f t="shared" si="1"/>
        <v>-1.64</v>
      </c>
      <c r="G8" s="78">
        <f>NETWORKDAYS(A8,B8-1,Feriados!$A$2:$A$2000)</f>
        <v>37</v>
      </c>
      <c r="H8" s="86">
        <v>8.484</v>
      </c>
      <c r="I8" s="87">
        <v>7.65</v>
      </c>
      <c r="J8" s="80">
        <f t="shared" si="4"/>
        <v>1.0002925</v>
      </c>
      <c r="L8" s="86">
        <v>8.484</v>
      </c>
      <c r="M8" s="87">
        <v>7.65</v>
      </c>
    </row>
    <row r="9" spans="1:13" ht="15" x14ac:dyDescent="0.3">
      <c r="A9" s="90">
        <v>44511</v>
      </c>
      <c r="B9" s="90">
        <v>44564</v>
      </c>
      <c r="C9" s="84">
        <f t="shared" si="0"/>
        <v>98847.85</v>
      </c>
      <c r="D9" s="84">
        <f t="shared" si="2"/>
        <v>98811.48</v>
      </c>
      <c r="E9" s="84">
        <f t="shared" si="3"/>
        <v>98840.38</v>
      </c>
      <c r="F9" s="93">
        <f t="shared" si="1"/>
        <v>7.47</v>
      </c>
      <c r="G9" s="78">
        <f>NETWORKDAYS(A9,B9-1,Feriados!$A$2:$A$2000)</f>
        <v>36</v>
      </c>
      <c r="H9" s="86">
        <v>8.4499999999999993</v>
      </c>
      <c r="I9" s="87">
        <v>7.65</v>
      </c>
      <c r="J9" s="80">
        <f t="shared" si="4"/>
        <v>1.0002925</v>
      </c>
      <c r="L9" s="86">
        <v>8.4499999999999993</v>
      </c>
      <c r="M9" s="87">
        <v>7.65</v>
      </c>
    </row>
    <row r="10" spans="1:13" ht="15" x14ac:dyDescent="0.3">
      <c r="A10" s="90">
        <v>44512</v>
      </c>
      <c r="B10" s="90">
        <v>44564</v>
      </c>
      <c r="C10" s="84">
        <f t="shared" si="0"/>
        <v>98876.88</v>
      </c>
      <c r="D10" s="84">
        <f t="shared" si="2"/>
        <v>98847.85</v>
      </c>
      <c r="E10" s="84">
        <f t="shared" si="3"/>
        <v>98876.76</v>
      </c>
      <c r="F10" s="93">
        <f t="shared" si="1"/>
        <v>0.12</v>
      </c>
      <c r="G10" s="78">
        <f>NETWORKDAYS(A10,B10-1,Feriados!$A$2:$A$2000)</f>
        <v>35</v>
      </c>
      <c r="H10" s="86">
        <v>8.4719999999999995</v>
      </c>
      <c r="I10" s="87">
        <v>7.65</v>
      </c>
      <c r="J10" s="80">
        <f t="shared" si="4"/>
        <v>1.0002925</v>
      </c>
      <c r="L10" s="86">
        <v>8.4719999999999995</v>
      </c>
      <c r="M10" s="87">
        <v>7.65</v>
      </c>
    </row>
    <row r="11" spans="1:13" ht="15" x14ac:dyDescent="0.3">
      <c r="A11" s="90">
        <v>44516</v>
      </c>
      <c r="B11" s="90">
        <v>44564</v>
      </c>
      <c r="C11" s="84">
        <f t="shared" si="0"/>
        <v>98902.399999999994</v>
      </c>
      <c r="D11" s="84">
        <f t="shared" si="2"/>
        <v>98876.88</v>
      </c>
      <c r="E11" s="84">
        <f t="shared" si="3"/>
        <v>98905.8</v>
      </c>
      <c r="F11" s="93">
        <f t="shared" si="1"/>
        <v>-3.4</v>
      </c>
      <c r="G11" s="78">
        <f>NETWORKDAYS(A11,B11-1,Feriados!$A$2:$A$2000)</f>
        <v>34</v>
      </c>
      <c r="H11" s="86">
        <v>8.5239999999999991</v>
      </c>
      <c r="I11" s="87">
        <v>7.65</v>
      </c>
      <c r="J11" s="80">
        <f t="shared" si="4"/>
        <v>1.0002925</v>
      </c>
      <c r="L11" s="86">
        <v>8.5239999999999991</v>
      </c>
      <c r="M11" s="87">
        <v>7.65</v>
      </c>
    </row>
    <row r="12" spans="1:13" ht="15" x14ac:dyDescent="0.3">
      <c r="A12" s="90">
        <v>44517</v>
      </c>
      <c r="B12" s="90">
        <v>44564</v>
      </c>
      <c r="C12" s="84">
        <f t="shared" si="0"/>
        <v>98933.56</v>
      </c>
      <c r="D12" s="84">
        <f t="shared" si="2"/>
        <v>98902.399999999994</v>
      </c>
      <c r="E12" s="84">
        <f t="shared" si="3"/>
        <v>98931.33</v>
      </c>
      <c r="F12" s="93">
        <f t="shared" si="1"/>
        <v>2.23</v>
      </c>
      <c r="G12" s="78">
        <f>NETWORKDAYS(A12,B12-1,Feriados!$A$2:$A$2000)</f>
        <v>33</v>
      </c>
      <c r="H12" s="86">
        <v>8.532</v>
      </c>
      <c r="I12" s="87">
        <v>7.65</v>
      </c>
      <c r="J12" s="80">
        <f t="shared" si="4"/>
        <v>1.0002925</v>
      </c>
      <c r="L12" s="86">
        <v>8.532</v>
      </c>
      <c r="M12" s="87">
        <v>7.65</v>
      </c>
    </row>
    <row r="13" spans="1:13" ht="15" x14ac:dyDescent="0.3">
      <c r="A13" s="90">
        <v>44518</v>
      </c>
      <c r="B13" s="90">
        <v>44564</v>
      </c>
      <c r="C13" s="84">
        <f t="shared" si="0"/>
        <v>98961.31</v>
      </c>
      <c r="D13" s="84">
        <f t="shared" si="2"/>
        <v>98933.56</v>
      </c>
      <c r="E13" s="84">
        <f t="shared" si="3"/>
        <v>98962.5</v>
      </c>
      <c r="F13" s="93">
        <f t="shared" si="1"/>
        <v>-1.19</v>
      </c>
      <c r="G13" s="78">
        <f>NETWORKDAYS(A13,B13-1,Feriados!$A$2:$A$2000)</f>
        <v>32</v>
      </c>
      <c r="H13" s="86">
        <v>8.57</v>
      </c>
      <c r="I13" s="87">
        <v>7.65</v>
      </c>
      <c r="J13" s="80">
        <f t="shared" si="4"/>
        <v>1.0002925</v>
      </c>
      <c r="L13" s="86">
        <v>8.57</v>
      </c>
      <c r="M13" s="87">
        <v>7.65</v>
      </c>
    </row>
    <row r="14" spans="1:13" ht="15" x14ac:dyDescent="0.3">
      <c r="A14" s="90">
        <v>44519</v>
      </c>
      <c r="B14" s="90">
        <v>44564</v>
      </c>
      <c r="C14" s="84">
        <f t="shared" si="0"/>
        <v>98991.58</v>
      </c>
      <c r="D14" s="84">
        <f t="shared" si="2"/>
        <v>98961.31</v>
      </c>
      <c r="E14" s="84">
        <f t="shared" si="3"/>
        <v>98990.26</v>
      </c>
      <c r="F14" s="93">
        <f t="shared" si="1"/>
        <v>1.32</v>
      </c>
      <c r="G14" s="78">
        <f>NETWORKDAYS(A14,B14-1,Feriados!$A$2:$A$2000)</f>
        <v>31</v>
      </c>
      <c r="H14" s="86">
        <v>8.5879999999999992</v>
      </c>
      <c r="I14" s="87">
        <v>7.65</v>
      </c>
      <c r="J14" s="80">
        <f t="shared" si="4"/>
        <v>1.0002925</v>
      </c>
      <c r="L14" s="86">
        <v>8.5879999999999992</v>
      </c>
      <c r="M14" s="87">
        <v>7.65</v>
      </c>
    </row>
    <row r="15" spans="1:13" ht="15" x14ac:dyDescent="0.3">
      <c r="A15" s="90">
        <v>44522</v>
      </c>
      <c r="B15" s="90">
        <v>44564</v>
      </c>
      <c r="C15" s="84">
        <f t="shared" si="0"/>
        <v>99017.87</v>
      </c>
      <c r="D15" s="84">
        <f t="shared" si="2"/>
        <v>98991.58</v>
      </c>
      <c r="E15" s="84">
        <f t="shared" si="3"/>
        <v>99020.54</v>
      </c>
      <c r="F15" s="93">
        <f t="shared" si="1"/>
        <v>-2.67</v>
      </c>
      <c r="G15" s="78">
        <f>NETWORKDAYS(A15,B15-1,Feriados!$A$2:$A$2000)</f>
        <v>30</v>
      </c>
      <c r="H15" s="86">
        <v>8.6440000000000001</v>
      </c>
      <c r="I15" s="87">
        <v>7.65</v>
      </c>
      <c r="J15" s="80">
        <f t="shared" si="4"/>
        <v>1.0002925</v>
      </c>
      <c r="L15" s="86">
        <v>8.6440000000000001</v>
      </c>
      <c r="M15" s="87">
        <v>7.65</v>
      </c>
    </row>
    <row r="16" spans="1:13" ht="15" x14ac:dyDescent="0.3">
      <c r="A16" s="90">
        <v>44523</v>
      </c>
      <c r="B16" s="90">
        <v>44564</v>
      </c>
      <c r="C16" s="84">
        <f t="shared" si="0"/>
        <v>99046.68</v>
      </c>
      <c r="D16" s="84">
        <f t="shared" si="2"/>
        <v>99017.87</v>
      </c>
      <c r="E16" s="84">
        <f t="shared" si="3"/>
        <v>99046.83</v>
      </c>
      <c r="F16" s="93">
        <f t="shared" si="1"/>
        <v>-0.15</v>
      </c>
      <c r="G16" s="78">
        <f>NETWORKDAYS(A16,B16-1,Feriados!$A$2:$A$2000)</f>
        <v>29</v>
      </c>
      <c r="H16" s="86">
        <v>8.68</v>
      </c>
      <c r="I16" s="87">
        <v>7.65</v>
      </c>
      <c r="J16" s="80">
        <f t="shared" si="4"/>
        <v>1.0002925</v>
      </c>
      <c r="L16" s="86">
        <v>8.68</v>
      </c>
      <c r="M16" s="87">
        <v>7.65</v>
      </c>
    </row>
    <row r="17" spans="1:13" ht="15" x14ac:dyDescent="0.3">
      <c r="A17" s="90">
        <v>44524</v>
      </c>
      <c r="B17" s="90">
        <v>44564</v>
      </c>
      <c r="C17" s="84">
        <f t="shared" si="0"/>
        <v>99078.79</v>
      </c>
      <c r="D17" s="84">
        <f t="shared" si="2"/>
        <v>99046.68</v>
      </c>
      <c r="E17" s="84">
        <f t="shared" si="3"/>
        <v>99075.65</v>
      </c>
      <c r="F17" s="93">
        <f t="shared" si="1"/>
        <v>3.14</v>
      </c>
      <c r="G17" s="78">
        <f>NETWORKDAYS(A17,B17-1,Feriados!$A$2:$A$2000)</f>
        <v>28</v>
      </c>
      <c r="H17" s="86">
        <v>8.6859999999999999</v>
      </c>
      <c r="I17" s="87">
        <v>7.65</v>
      </c>
      <c r="J17" s="80">
        <f t="shared" si="4"/>
        <v>1.0002925</v>
      </c>
      <c r="L17" s="86">
        <v>8.6859999999999999</v>
      </c>
      <c r="M17" s="87">
        <v>7.65</v>
      </c>
    </row>
    <row r="18" spans="1:13" ht="15" x14ac:dyDescent="0.3">
      <c r="A18" s="90">
        <v>44525</v>
      </c>
      <c r="B18" s="90">
        <v>44564</v>
      </c>
      <c r="C18" s="84">
        <f t="shared" si="0"/>
        <v>99108.81</v>
      </c>
      <c r="D18" s="84">
        <f t="shared" si="2"/>
        <v>99078.79</v>
      </c>
      <c r="E18" s="84">
        <f t="shared" si="3"/>
        <v>99107.77</v>
      </c>
      <c r="F18" s="93">
        <f t="shared" si="1"/>
        <v>1.04</v>
      </c>
      <c r="G18" s="78">
        <f>NETWORKDAYS(A18,B18-1,Feriados!$A$2:$A$2000)</f>
        <v>27</v>
      </c>
      <c r="H18" s="86">
        <v>8.7140000000000004</v>
      </c>
      <c r="I18" s="87">
        <v>7.65</v>
      </c>
      <c r="J18" s="80">
        <f t="shared" si="4"/>
        <v>1.0002925</v>
      </c>
      <c r="L18" s="86">
        <v>8.7140000000000004</v>
      </c>
      <c r="M18" s="87">
        <v>7.65</v>
      </c>
    </row>
    <row r="19" spans="1:13" ht="15" x14ac:dyDescent="0.3">
      <c r="A19" s="90">
        <v>44526</v>
      </c>
      <c r="B19" s="90">
        <v>44564</v>
      </c>
      <c r="C19" s="84">
        <f t="shared" si="0"/>
        <v>99142.99</v>
      </c>
      <c r="D19" s="84">
        <f t="shared" si="2"/>
        <v>99108.81</v>
      </c>
      <c r="E19" s="84">
        <f t="shared" si="3"/>
        <v>99137.8</v>
      </c>
      <c r="F19" s="93">
        <f t="shared" si="1"/>
        <v>5.19</v>
      </c>
      <c r="G19" s="78">
        <f>NETWORKDAYS(A19,B19-1,Feriados!$A$2:$A$2000)</f>
        <v>26</v>
      </c>
      <c r="H19" s="86">
        <v>8.6999999999999993</v>
      </c>
      <c r="I19" s="87">
        <v>7.65</v>
      </c>
      <c r="J19" s="80">
        <f t="shared" si="4"/>
        <v>1.0002925</v>
      </c>
      <c r="L19" s="86">
        <v>8.6999999999999993</v>
      </c>
      <c r="M19" s="87">
        <v>7.65</v>
      </c>
    </row>
    <row r="20" spans="1:13" ht="15" x14ac:dyDescent="0.3">
      <c r="A20" s="90">
        <v>44529</v>
      </c>
      <c r="B20" s="90">
        <v>44564</v>
      </c>
      <c r="C20" s="84">
        <f t="shared" si="0"/>
        <v>99174.73</v>
      </c>
      <c r="D20" s="84">
        <f t="shared" si="2"/>
        <v>99142.99</v>
      </c>
      <c r="E20" s="84">
        <f t="shared" si="3"/>
        <v>99171.99</v>
      </c>
      <c r="F20" s="93">
        <f t="shared" si="1"/>
        <v>2.74</v>
      </c>
      <c r="G20" s="78">
        <f>NETWORKDAYS(A20,B20-1,Feriados!$A$2:$A$2000)</f>
        <v>25</v>
      </c>
      <c r="H20" s="86">
        <v>8.7119999999999997</v>
      </c>
      <c r="I20" s="87">
        <v>7.65</v>
      </c>
      <c r="J20" s="80">
        <f t="shared" si="4"/>
        <v>1.0002925</v>
      </c>
      <c r="L20" s="86">
        <v>8.7119999999999997</v>
      </c>
      <c r="M20" s="87">
        <v>7.65</v>
      </c>
    </row>
    <row r="21" spans="1:13" ht="15" x14ac:dyDescent="0.3">
      <c r="A21" s="90">
        <v>44530</v>
      </c>
      <c r="B21" s="90">
        <v>44564</v>
      </c>
      <c r="C21" s="84">
        <f t="shared" ref="C21:C44" si="5">+ROUND((100000/(1+H21/100)^(G21/252)),2)</f>
        <v>99204.14</v>
      </c>
      <c r="D21" s="84">
        <f t="shared" ref="D21:D44" si="6">+C20</f>
        <v>99174.73</v>
      </c>
      <c r="E21" s="84">
        <f t="shared" ref="E21:E44" si="7">ROUND(D21*J21,2)</f>
        <v>99203.74</v>
      </c>
      <c r="F21" s="93">
        <f t="shared" ref="F21:F44" si="8">ROUND(+C21-E21,2)</f>
        <v>0.4</v>
      </c>
      <c r="G21" s="78">
        <f>NETWORKDAYS(A21,B21-1,Feriados!$A$2:$A$2000)</f>
        <v>24</v>
      </c>
      <c r="H21" s="86">
        <v>8.7520000000000007</v>
      </c>
      <c r="I21" s="87">
        <v>7.65</v>
      </c>
      <c r="J21" s="80">
        <f t="shared" ref="J21:J44" si="9">TRUNC(+(1+I21/100)^(1/252),7)</f>
        <v>1.0002925</v>
      </c>
      <c r="L21" s="86">
        <v>8.7520000000000007</v>
      </c>
      <c r="M21" s="87">
        <v>7.65</v>
      </c>
    </row>
    <row r="22" spans="1:13" ht="15" x14ac:dyDescent="0.3">
      <c r="A22" s="90">
        <v>44531</v>
      </c>
      <c r="B22" s="90">
        <v>44564</v>
      </c>
      <c r="C22" s="84">
        <f t="shared" si="5"/>
        <v>99233.01</v>
      </c>
      <c r="D22" s="84">
        <f t="shared" si="6"/>
        <v>99204.14</v>
      </c>
      <c r="E22" s="84">
        <f t="shared" si="7"/>
        <v>99233.16</v>
      </c>
      <c r="F22" s="93">
        <f t="shared" si="8"/>
        <v>-0.15</v>
      </c>
      <c r="G22" s="78">
        <f>NETWORKDAYS(A22,B22-1,Feriados!$A$2:$A$2000)</f>
        <v>23</v>
      </c>
      <c r="H22" s="86">
        <v>8.8019999999999996</v>
      </c>
      <c r="I22" s="87">
        <v>7.65</v>
      </c>
      <c r="J22" s="80">
        <f t="shared" si="9"/>
        <v>1.0002925</v>
      </c>
      <c r="L22" s="86">
        <v>8.8019999999999996</v>
      </c>
      <c r="M22" s="87">
        <v>7.65</v>
      </c>
    </row>
    <row r="23" spans="1:13" ht="15" x14ac:dyDescent="0.3">
      <c r="A23" s="90">
        <v>44532</v>
      </c>
      <c r="B23" s="90">
        <v>44564</v>
      </c>
      <c r="C23" s="84">
        <f t="shared" si="5"/>
        <v>99262.09</v>
      </c>
      <c r="D23" s="84">
        <f t="shared" si="6"/>
        <v>99233.01</v>
      </c>
      <c r="E23" s="84">
        <f t="shared" si="7"/>
        <v>99262.04</v>
      </c>
      <c r="F23" s="93">
        <f t="shared" si="8"/>
        <v>0.05</v>
      </c>
      <c r="G23" s="78">
        <f>NETWORKDAYS(A23,B23-1,Feriados!$A$2:$A$2000)</f>
        <v>22</v>
      </c>
      <c r="H23" s="86">
        <v>8.8539999999999992</v>
      </c>
      <c r="I23" s="87">
        <v>7.65</v>
      </c>
      <c r="J23" s="80">
        <f t="shared" si="9"/>
        <v>1.0002925</v>
      </c>
      <c r="L23" s="86">
        <v>8.8539999999999992</v>
      </c>
      <c r="M23" s="87">
        <v>7.65</v>
      </c>
    </row>
    <row r="24" spans="1:13" ht="15" x14ac:dyDescent="0.3">
      <c r="A24" s="90">
        <v>44533</v>
      </c>
      <c r="B24" s="90">
        <v>44564</v>
      </c>
      <c r="C24" s="84">
        <f t="shared" si="5"/>
        <v>99292.02</v>
      </c>
      <c r="D24" s="84">
        <f t="shared" si="6"/>
        <v>99262.09</v>
      </c>
      <c r="E24" s="84">
        <f t="shared" si="7"/>
        <v>99291.12</v>
      </c>
      <c r="F24" s="93">
        <f t="shared" si="8"/>
        <v>0.9</v>
      </c>
      <c r="G24" s="78">
        <f>NETWORKDAYS(A24,B24-1,Feriados!$A$2:$A$2000)</f>
        <v>21</v>
      </c>
      <c r="H24" s="86">
        <v>8.9</v>
      </c>
      <c r="I24" s="87">
        <v>7.65</v>
      </c>
      <c r="J24" s="80">
        <f t="shared" si="9"/>
        <v>1.0002925</v>
      </c>
      <c r="L24" s="86">
        <v>8.9</v>
      </c>
      <c r="M24" s="87">
        <v>7.65</v>
      </c>
    </row>
    <row r="25" spans="1:13" ht="15" x14ac:dyDescent="0.3">
      <c r="A25" s="90">
        <v>44536</v>
      </c>
      <c r="B25" s="90">
        <v>44564</v>
      </c>
      <c r="C25" s="84">
        <f t="shared" si="5"/>
        <v>99321.13</v>
      </c>
      <c r="D25" s="84">
        <f t="shared" si="6"/>
        <v>99292.02</v>
      </c>
      <c r="E25" s="84">
        <f t="shared" si="7"/>
        <v>99321.06</v>
      </c>
      <c r="F25" s="93">
        <f t="shared" si="8"/>
        <v>7.0000000000000007E-2</v>
      </c>
      <c r="G25" s="78">
        <f>NETWORKDAYS(A25,B25-1,Feriados!$A$2:$A$2000)</f>
        <v>20</v>
      </c>
      <c r="H25" s="86">
        <v>8.9619999999999997</v>
      </c>
      <c r="I25" s="87">
        <v>7.65</v>
      </c>
      <c r="J25" s="80">
        <f t="shared" si="9"/>
        <v>1.0002925</v>
      </c>
      <c r="L25" s="86">
        <v>8.9619999999999997</v>
      </c>
      <c r="M25" s="87">
        <v>7.65</v>
      </c>
    </row>
    <row r="26" spans="1:13" ht="15" x14ac:dyDescent="0.3">
      <c r="A26" s="90">
        <v>44537</v>
      </c>
      <c r="B26" s="90">
        <v>44564</v>
      </c>
      <c r="C26" s="84">
        <f t="shared" si="5"/>
        <v>99349.61</v>
      </c>
      <c r="D26" s="84">
        <f t="shared" si="6"/>
        <v>99321.13</v>
      </c>
      <c r="E26" s="84">
        <f t="shared" si="7"/>
        <v>99350.18</v>
      </c>
      <c r="F26" s="93">
        <f t="shared" si="8"/>
        <v>-0.56999999999999995</v>
      </c>
      <c r="G26" s="78">
        <f>NETWORKDAYS(A26,B26-1,Feriados!$A$2:$A$2000)</f>
        <v>19</v>
      </c>
      <c r="H26" s="86">
        <v>9.0399999999999991</v>
      </c>
      <c r="I26" s="87">
        <v>7.65</v>
      </c>
      <c r="J26" s="80">
        <f t="shared" si="9"/>
        <v>1.0002925</v>
      </c>
      <c r="L26" s="86">
        <v>9.0399999999999991</v>
      </c>
      <c r="M26" s="87">
        <v>7.65</v>
      </c>
    </row>
    <row r="27" spans="1:13" ht="15" x14ac:dyDescent="0.3">
      <c r="A27" s="90">
        <v>44538</v>
      </c>
      <c r="B27" s="90">
        <v>44564</v>
      </c>
      <c r="C27" s="84">
        <f t="shared" si="5"/>
        <v>99379.83</v>
      </c>
      <c r="D27" s="84">
        <f t="shared" si="6"/>
        <v>99349.61</v>
      </c>
      <c r="E27" s="84">
        <f t="shared" si="7"/>
        <v>99378.67</v>
      </c>
      <c r="F27" s="93">
        <f t="shared" si="8"/>
        <v>1.1599999999999999</v>
      </c>
      <c r="G27" s="78">
        <f>NETWORKDAYS(A27,B27-1,Feriados!$A$2:$A$2000)</f>
        <v>18</v>
      </c>
      <c r="H27" s="86">
        <v>9.1</v>
      </c>
      <c r="I27" s="87">
        <v>7.65</v>
      </c>
      <c r="J27" s="80">
        <f t="shared" si="9"/>
        <v>1.0002925</v>
      </c>
      <c r="L27" s="86">
        <v>9.1</v>
      </c>
      <c r="M27" s="87">
        <v>7.65</v>
      </c>
    </row>
    <row r="28" spans="1:13" ht="15" x14ac:dyDescent="0.3">
      <c r="A28" s="90">
        <v>44539</v>
      </c>
      <c r="B28" s="90">
        <v>44564</v>
      </c>
      <c r="C28" s="84">
        <f t="shared" si="5"/>
        <v>99410.86</v>
      </c>
      <c r="D28" s="84">
        <f t="shared" si="6"/>
        <v>99379.83</v>
      </c>
      <c r="E28" s="84">
        <f t="shared" si="7"/>
        <v>99414.35</v>
      </c>
      <c r="F28" s="93">
        <f t="shared" si="8"/>
        <v>-3.49</v>
      </c>
      <c r="G28" s="78">
        <f>NETWORKDAYS(A28,B28-1,Feriados!$A$2:$A$2000)</f>
        <v>17</v>
      </c>
      <c r="H28" s="86">
        <v>9.1539999999999999</v>
      </c>
      <c r="I28" s="87">
        <v>9.15</v>
      </c>
      <c r="J28" s="80">
        <f t="shared" si="9"/>
        <v>1.0003474000000001</v>
      </c>
      <c r="L28" s="86">
        <v>9.1539999999999999</v>
      </c>
      <c r="M28" s="87">
        <v>9.15</v>
      </c>
    </row>
    <row r="29" spans="1:13" ht="15" x14ac:dyDescent="0.3">
      <c r="A29" s="90">
        <v>44540</v>
      </c>
      <c r="B29" s="90">
        <v>44564</v>
      </c>
      <c r="C29" s="84">
        <f t="shared" si="5"/>
        <v>99445.42</v>
      </c>
      <c r="D29" s="84">
        <f t="shared" si="6"/>
        <v>99410.86</v>
      </c>
      <c r="E29" s="84">
        <f t="shared" si="7"/>
        <v>99445.4</v>
      </c>
      <c r="F29" s="93">
        <f t="shared" si="8"/>
        <v>0.02</v>
      </c>
      <c r="G29" s="78">
        <f>NETWORKDAYS(A29,B29-1,Feriados!$A$2:$A$2000)</f>
        <v>16</v>
      </c>
      <c r="H29" s="86">
        <v>9.1539999999999999</v>
      </c>
      <c r="I29" s="87">
        <v>9.15</v>
      </c>
      <c r="J29" s="80">
        <f t="shared" si="9"/>
        <v>1.0003474000000001</v>
      </c>
      <c r="L29" s="86">
        <v>9.1539999999999999</v>
      </c>
      <c r="M29" s="87">
        <v>9.15</v>
      </c>
    </row>
    <row r="30" spans="1:13" ht="15" x14ac:dyDescent="0.3">
      <c r="A30" s="90">
        <v>44543</v>
      </c>
      <c r="B30" s="90">
        <v>44564</v>
      </c>
      <c r="C30" s="84">
        <f t="shared" si="5"/>
        <v>99479.99</v>
      </c>
      <c r="D30" s="84">
        <f t="shared" si="6"/>
        <v>99445.42</v>
      </c>
      <c r="E30" s="84">
        <f t="shared" si="7"/>
        <v>99479.97</v>
      </c>
      <c r="F30" s="93">
        <f t="shared" si="8"/>
        <v>0.02</v>
      </c>
      <c r="G30" s="78">
        <f>NETWORKDAYS(A30,B30-1,Feriados!$A$2:$A$2000)</f>
        <v>15</v>
      </c>
      <c r="H30" s="86">
        <v>9.1539999999999999</v>
      </c>
      <c r="I30" s="87">
        <v>9.15</v>
      </c>
      <c r="J30" s="80">
        <f t="shared" si="9"/>
        <v>1.0003474000000001</v>
      </c>
      <c r="L30" s="86">
        <v>9.1539999999999999</v>
      </c>
      <c r="M30" s="87">
        <v>9.15</v>
      </c>
    </row>
    <row r="31" spans="1:13" ht="15" x14ac:dyDescent="0.3">
      <c r="A31" s="90">
        <v>44544</v>
      </c>
      <c r="B31" s="90">
        <v>44564</v>
      </c>
      <c r="C31" s="84">
        <f t="shared" si="5"/>
        <v>99514.78</v>
      </c>
      <c r="D31" s="84">
        <f t="shared" si="6"/>
        <v>99479.99</v>
      </c>
      <c r="E31" s="84">
        <f t="shared" si="7"/>
        <v>99514.55</v>
      </c>
      <c r="F31" s="93">
        <f t="shared" si="8"/>
        <v>0.23</v>
      </c>
      <c r="G31" s="78">
        <f>NETWORKDAYS(A31,B31-1,Feriados!$A$2:$A$2000)</f>
        <v>14</v>
      </c>
      <c r="H31" s="86">
        <v>9.15</v>
      </c>
      <c r="I31" s="87">
        <v>9.15</v>
      </c>
      <c r="J31" s="80">
        <f t="shared" si="9"/>
        <v>1.0003474000000001</v>
      </c>
      <c r="L31" s="86">
        <v>9.15</v>
      </c>
      <c r="M31" s="87">
        <v>9.15</v>
      </c>
    </row>
    <row r="32" spans="1:13" ht="15" x14ac:dyDescent="0.3">
      <c r="A32" s="90">
        <v>44545</v>
      </c>
      <c r="B32" s="90">
        <v>44564</v>
      </c>
      <c r="C32" s="84">
        <f t="shared" si="5"/>
        <v>99549.45</v>
      </c>
      <c r="D32" s="84">
        <f t="shared" si="6"/>
        <v>99514.78</v>
      </c>
      <c r="E32" s="84">
        <f t="shared" si="7"/>
        <v>99549.35</v>
      </c>
      <c r="F32" s="93">
        <f t="shared" si="8"/>
        <v>0.1</v>
      </c>
      <c r="G32" s="78">
        <f>NETWORKDAYS(A32,B32-1,Feriados!$A$2:$A$2000)</f>
        <v>13</v>
      </c>
      <c r="H32" s="86">
        <v>9.1479999999999997</v>
      </c>
      <c r="I32" s="87">
        <v>9.15</v>
      </c>
      <c r="J32" s="80">
        <f t="shared" si="9"/>
        <v>1.0003474000000001</v>
      </c>
      <c r="L32" s="86">
        <v>9.1479999999999997</v>
      </c>
      <c r="M32" s="87">
        <v>9.15</v>
      </c>
    </row>
    <row r="33" spans="1:13" ht="15" x14ac:dyDescent="0.3">
      <c r="A33" s="90">
        <v>44546</v>
      </c>
      <c r="B33" s="90">
        <v>44564</v>
      </c>
      <c r="C33" s="84">
        <f t="shared" si="5"/>
        <v>99583.95</v>
      </c>
      <c r="D33" s="84">
        <f t="shared" si="6"/>
        <v>99549.45</v>
      </c>
      <c r="E33" s="84">
        <f t="shared" si="7"/>
        <v>99584.03</v>
      </c>
      <c r="F33" s="93">
        <f t="shared" si="8"/>
        <v>-0.08</v>
      </c>
      <c r="G33" s="78">
        <f>NETWORKDAYS(A33,B33-1,Feriados!$A$2:$A$2000)</f>
        <v>12</v>
      </c>
      <c r="H33" s="86">
        <v>9.15</v>
      </c>
      <c r="I33" s="87">
        <v>9.15</v>
      </c>
      <c r="J33" s="80">
        <f t="shared" si="9"/>
        <v>1.0003474000000001</v>
      </c>
      <c r="L33" s="86">
        <v>9.15</v>
      </c>
      <c r="M33" s="87">
        <v>9.15</v>
      </c>
    </row>
    <row r="34" spans="1:13" ht="15" x14ac:dyDescent="0.3">
      <c r="A34" s="90">
        <v>44547</v>
      </c>
      <c r="B34" s="90">
        <v>44564</v>
      </c>
      <c r="C34" s="84">
        <f t="shared" si="5"/>
        <v>99618.63</v>
      </c>
      <c r="D34" s="84">
        <f t="shared" si="6"/>
        <v>99583.95</v>
      </c>
      <c r="E34" s="84">
        <f t="shared" si="7"/>
        <v>99618.55</v>
      </c>
      <c r="F34" s="93">
        <f t="shared" si="8"/>
        <v>0.08</v>
      </c>
      <c r="G34" s="78">
        <f>NETWORKDAYS(A34,B34-1,Feriados!$A$2:$A$2000)</f>
        <v>11</v>
      </c>
      <c r="H34" s="86">
        <v>9.1479999999999997</v>
      </c>
      <c r="I34" s="87">
        <v>9.15</v>
      </c>
      <c r="J34" s="80">
        <f t="shared" si="9"/>
        <v>1.0003474000000001</v>
      </c>
      <c r="L34" s="86">
        <v>9.1479999999999997</v>
      </c>
      <c r="M34" s="87">
        <v>9.15</v>
      </c>
    </row>
    <row r="35" spans="1:13" ht="15" x14ac:dyDescent="0.3">
      <c r="A35" s="90">
        <v>44550</v>
      </c>
      <c r="B35" s="90">
        <v>44564</v>
      </c>
      <c r="C35" s="84">
        <f t="shared" si="5"/>
        <v>99653.03</v>
      </c>
      <c r="D35" s="84">
        <f t="shared" si="6"/>
        <v>99618.63</v>
      </c>
      <c r="E35" s="84">
        <f t="shared" si="7"/>
        <v>99653.24</v>
      </c>
      <c r="F35" s="93">
        <f t="shared" si="8"/>
        <v>-0.21</v>
      </c>
      <c r="G35" s="78">
        <f>NETWORKDAYS(A35,B35-1,Feriados!$A$2:$A$2000)</f>
        <v>10</v>
      </c>
      <c r="H35" s="86">
        <v>9.1539999999999999</v>
      </c>
      <c r="I35" s="87">
        <v>9.15</v>
      </c>
      <c r="J35" s="80">
        <f t="shared" si="9"/>
        <v>1.0003474000000001</v>
      </c>
      <c r="L35" s="86">
        <v>9.1539999999999999</v>
      </c>
      <c r="M35" s="87">
        <v>9.15</v>
      </c>
    </row>
    <row r="36" spans="1:13" ht="15" x14ac:dyDescent="0.3">
      <c r="A36" s="90">
        <v>44551</v>
      </c>
      <c r="B36" s="90">
        <v>44564</v>
      </c>
      <c r="C36" s="84">
        <f t="shared" si="5"/>
        <v>99687.73</v>
      </c>
      <c r="D36" s="84">
        <f t="shared" si="6"/>
        <v>99653.03</v>
      </c>
      <c r="E36" s="84">
        <f t="shared" si="7"/>
        <v>99687.65</v>
      </c>
      <c r="F36" s="93">
        <f t="shared" si="8"/>
        <v>0.08</v>
      </c>
      <c r="G36" s="78">
        <f>NETWORKDAYS(A36,B36-1,Feriados!$A$2:$A$2000)</f>
        <v>9</v>
      </c>
      <c r="H36" s="86">
        <v>9.1519999999999992</v>
      </c>
      <c r="I36" s="87">
        <v>9.15</v>
      </c>
      <c r="J36" s="80">
        <f t="shared" si="9"/>
        <v>1.0003474000000001</v>
      </c>
      <c r="L36" s="86">
        <v>9.1519999999999992</v>
      </c>
      <c r="M36" s="87">
        <v>9.15</v>
      </c>
    </row>
    <row r="37" spans="1:13" ht="15" x14ac:dyDescent="0.3">
      <c r="A37" s="90">
        <v>44552</v>
      </c>
      <c r="B37" s="90">
        <v>44564</v>
      </c>
      <c r="C37" s="84">
        <f t="shared" si="5"/>
        <v>99722.38</v>
      </c>
      <c r="D37" s="84">
        <f t="shared" si="6"/>
        <v>99687.73</v>
      </c>
      <c r="E37" s="84">
        <f t="shared" si="7"/>
        <v>99722.36</v>
      </c>
      <c r="F37" s="93">
        <f t="shared" si="8"/>
        <v>0.02</v>
      </c>
      <c r="G37" s="78">
        <f>NETWORKDAYS(A37,B37-1,Feriados!$A$2:$A$2000)</f>
        <v>8</v>
      </c>
      <c r="H37" s="86">
        <v>9.1519999999999992</v>
      </c>
      <c r="I37" s="87">
        <v>9.15</v>
      </c>
      <c r="J37" s="80">
        <f t="shared" si="9"/>
        <v>1.0003474000000001</v>
      </c>
      <c r="L37" s="86">
        <v>9.1519999999999992</v>
      </c>
      <c r="M37" s="87">
        <v>9.15</v>
      </c>
    </row>
    <row r="38" spans="1:13" ht="15" x14ac:dyDescent="0.3">
      <c r="A38" s="90">
        <v>44553</v>
      </c>
      <c r="B38" s="90">
        <v>44564</v>
      </c>
      <c r="C38" s="84">
        <f t="shared" si="5"/>
        <v>99756.99</v>
      </c>
      <c r="D38" s="84">
        <f t="shared" si="6"/>
        <v>99722.38</v>
      </c>
      <c r="E38" s="84">
        <f t="shared" si="7"/>
        <v>99757.02</v>
      </c>
      <c r="F38" s="93">
        <f t="shared" si="8"/>
        <v>-0.03</v>
      </c>
      <c r="G38" s="78">
        <f>NETWORKDAYS(A38,B38-1,Feriados!$A$2:$A$2000)</f>
        <v>7</v>
      </c>
      <c r="H38" s="86">
        <v>9.1539999999999999</v>
      </c>
      <c r="I38" s="87">
        <v>9.15</v>
      </c>
      <c r="J38" s="80">
        <f t="shared" si="9"/>
        <v>1.0003474000000001</v>
      </c>
      <c r="L38" s="86">
        <v>9.1539999999999999</v>
      </c>
      <c r="M38" s="87">
        <v>9.15</v>
      </c>
    </row>
    <row r="39" spans="1:13" ht="15" x14ac:dyDescent="0.3">
      <c r="A39" s="90">
        <v>44554</v>
      </c>
      <c r="B39" s="90">
        <v>44564</v>
      </c>
      <c r="C39" s="84">
        <f t="shared" si="5"/>
        <v>99791.65</v>
      </c>
      <c r="D39" s="84">
        <f t="shared" si="6"/>
        <v>99756.99</v>
      </c>
      <c r="E39" s="84">
        <f t="shared" si="7"/>
        <v>99791.65</v>
      </c>
      <c r="F39" s="93">
        <f t="shared" si="8"/>
        <v>0</v>
      </c>
      <c r="G39" s="78">
        <f>NETWORKDAYS(A39,B39-1,Feriados!$A$2:$A$2000)</f>
        <v>6</v>
      </c>
      <c r="H39" s="86">
        <v>9.1549999999999994</v>
      </c>
      <c r="I39" s="87">
        <v>9.15</v>
      </c>
      <c r="J39" s="80">
        <f t="shared" si="9"/>
        <v>1.0003474000000001</v>
      </c>
      <c r="L39" s="86">
        <v>9.1549999999999994</v>
      </c>
      <c r="M39" s="87">
        <v>9.15</v>
      </c>
    </row>
    <row r="40" spans="1:13" ht="15" x14ac:dyDescent="0.3">
      <c r="A40" s="90">
        <v>44557</v>
      </c>
      <c r="B40" s="90">
        <v>44564</v>
      </c>
      <c r="C40" s="84">
        <f t="shared" si="5"/>
        <v>99826.43</v>
      </c>
      <c r="D40" s="84">
        <f t="shared" si="6"/>
        <v>99791.65</v>
      </c>
      <c r="E40" s="84">
        <f t="shared" si="7"/>
        <v>99826.32</v>
      </c>
      <c r="F40" s="93">
        <f t="shared" si="8"/>
        <v>0.11</v>
      </c>
      <c r="G40" s="78">
        <f>NETWORKDAYS(A40,B40-1,Feriados!$A$2:$A$2000)</f>
        <v>5</v>
      </c>
      <c r="H40" s="86">
        <v>9.15</v>
      </c>
      <c r="I40" s="87">
        <v>9.15</v>
      </c>
      <c r="J40" s="80">
        <f t="shared" si="9"/>
        <v>1.0003474000000001</v>
      </c>
      <c r="L40" s="86">
        <v>9.15</v>
      </c>
      <c r="M40" s="87">
        <v>9.15</v>
      </c>
    </row>
    <row r="41" spans="1:13" ht="15" x14ac:dyDescent="0.3">
      <c r="A41" s="90">
        <v>44558</v>
      </c>
      <c r="B41" s="90">
        <v>44564</v>
      </c>
      <c r="C41" s="84">
        <f t="shared" si="5"/>
        <v>99861.18</v>
      </c>
      <c r="D41" s="84">
        <f t="shared" si="6"/>
        <v>99826.43</v>
      </c>
      <c r="E41" s="84">
        <f t="shared" si="7"/>
        <v>99861.11</v>
      </c>
      <c r="F41" s="93">
        <f t="shared" si="8"/>
        <v>7.0000000000000007E-2</v>
      </c>
      <c r="G41" s="78">
        <f>NETWORKDAYS(A41,B41-1,Feriados!$A$2:$A$2000)</f>
        <v>4</v>
      </c>
      <c r="H41" s="86">
        <v>9.1460000000000008</v>
      </c>
      <c r="I41" s="87">
        <v>9.15</v>
      </c>
      <c r="J41" s="80">
        <f t="shared" si="9"/>
        <v>1.0003474000000001</v>
      </c>
      <c r="L41" s="86">
        <v>9.1460000000000008</v>
      </c>
      <c r="M41" s="87">
        <v>9.15</v>
      </c>
    </row>
    <row r="42" spans="1:13" ht="15" x14ac:dyDescent="0.3">
      <c r="A42" s="90">
        <v>44559</v>
      </c>
      <c r="B42" s="90">
        <v>44564</v>
      </c>
      <c r="C42" s="84">
        <f t="shared" si="5"/>
        <v>99895.82</v>
      </c>
      <c r="D42" s="84">
        <f t="shared" si="6"/>
        <v>99861.18</v>
      </c>
      <c r="E42" s="84">
        <f t="shared" si="7"/>
        <v>99895.87</v>
      </c>
      <c r="F42" s="93">
        <f t="shared" si="8"/>
        <v>-0.05</v>
      </c>
      <c r="G42" s="78">
        <f>NETWORKDAYS(A42,B42-1,Feriados!$A$2:$A$2000)</f>
        <v>3</v>
      </c>
      <c r="H42" s="86">
        <v>9.15</v>
      </c>
      <c r="I42" s="87">
        <v>9.15</v>
      </c>
      <c r="J42" s="80">
        <f t="shared" si="9"/>
        <v>1.0003474000000001</v>
      </c>
      <c r="L42" s="86">
        <v>9.15</v>
      </c>
      <c r="M42" s="87">
        <v>9.15</v>
      </c>
    </row>
    <row r="43" spans="1:13" ht="15" x14ac:dyDescent="0.3">
      <c r="A43" s="90">
        <v>44560</v>
      </c>
      <c r="B43" s="90">
        <v>44564</v>
      </c>
      <c r="C43" s="84">
        <f t="shared" si="5"/>
        <v>99930.54</v>
      </c>
      <c r="D43" s="84">
        <f t="shared" si="6"/>
        <v>99895.82</v>
      </c>
      <c r="E43" s="84">
        <f t="shared" si="7"/>
        <v>99930.52</v>
      </c>
      <c r="F43" s="93">
        <f t="shared" si="8"/>
        <v>0.02</v>
      </c>
      <c r="G43" s="78">
        <f>NETWORKDAYS(A43,B43-1,Feriados!$A$2:$A$2000)</f>
        <v>2</v>
      </c>
      <c r="H43" s="86">
        <v>9.15</v>
      </c>
      <c r="I43" s="87">
        <v>9.15</v>
      </c>
      <c r="J43" s="80">
        <f t="shared" si="9"/>
        <v>1.0003474000000001</v>
      </c>
      <c r="L43" s="86">
        <v>9.15</v>
      </c>
      <c r="M43" s="87">
        <v>9.15</v>
      </c>
    </row>
    <row r="44" spans="1:13" ht="15" x14ac:dyDescent="0.3">
      <c r="A44" s="90">
        <v>44561</v>
      </c>
      <c r="B44" s="90">
        <v>44564</v>
      </c>
      <c r="C44" s="84">
        <f t="shared" si="5"/>
        <v>99965.27</v>
      </c>
      <c r="D44" s="84">
        <f t="shared" si="6"/>
        <v>99930.54</v>
      </c>
      <c r="E44" s="84">
        <f t="shared" si="7"/>
        <v>99965.26</v>
      </c>
      <c r="F44" s="93">
        <f t="shared" si="8"/>
        <v>0.01</v>
      </c>
      <c r="G44" s="78">
        <f>NETWORKDAYS(A44,B44-1,Feriados!$A$2:$A$2000)</f>
        <v>1</v>
      </c>
      <c r="H44" s="86">
        <v>9.1479999999999997</v>
      </c>
      <c r="I44" s="87">
        <v>9.15</v>
      </c>
      <c r="J44" s="80">
        <f t="shared" si="9"/>
        <v>1.0003474000000001</v>
      </c>
      <c r="L44" s="86">
        <v>9.1479999999999997</v>
      </c>
      <c r="M44" s="87">
        <v>9.15</v>
      </c>
    </row>
    <row r="45" spans="1:13" ht="15" x14ac:dyDescent="0.3">
      <c r="A45" s="90">
        <v>44564</v>
      </c>
      <c r="B45" s="90">
        <v>44564</v>
      </c>
      <c r="C45" s="104">
        <v>100000</v>
      </c>
      <c r="D45" s="84">
        <f t="shared" ref="D45" si="10">+C44</f>
        <v>99965.27</v>
      </c>
      <c r="E45" s="84">
        <f t="shared" ref="E45" si="11">ROUND(D45*J45,2)</f>
        <v>100000</v>
      </c>
      <c r="F45" s="93">
        <f t="shared" ref="F45" si="12">ROUND(+C45-E45,2)</f>
        <v>0</v>
      </c>
      <c r="G45" s="105">
        <v>0</v>
      </c>
      <c r="H45" s="86">
        <v>9.15</v>
      </c>
      <c r="I45" s="87">
        <v>9.15</v>
      </c>
      <c r="J45" s="80">
        <f t="shared" ref="J45" si="13">TRUNC(+(1+I45/100)^(1/252),7)</f>
        <v>1.0003474000000001</v>
      </c>
      <c r="L45" s="86">
        <v>9.15</v>
      </c>
      <c r="M45" s="87">
        <v>9.15</v>
      </c>
    </row>
    <row r="47" spans="1:13" ht="23.4" x14ac:dyDescent="0.3">
      <c r="F47" s="98">
        <f>SUM(F3:F46)</f>
        <v>16.609999999999996</v>
      </c>
      <c r="H47" s="94">
        <f>+H45-H2</f>
        <v>0.76999999999999957</v>
      </c>
      <c r="I47" s="94">
        <f>+I45-I2</f>
        <v>1.5</v>
      </c>
    </row>
    <row r="49" spans="8:10" ht="23.4" x14ac:dyDescent="0.3">
      <c r="H49" s="115">
        <f>+H2</f>
        <v>8.3800000000000008</v>
      </c>
      <c r="I49" s="106">
        <f>AVERAGE(I3:I45)</f>
        <v>8.277906976744184</v>
      </c>
      <c r="J49" s="116">
        <f>+H49-I49</f>
        <v>0.10209302325581682</v>
      </c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FF79-4AB0-437D-AEBE-0CDA85C29566}">
  <dimension ref="A1:P31"/>
  <sheetViews>
    <sheetView topLeftCell="D1" zoomScale="130" zoomScaleNormal="130" workbookViewId="0">
      <selection activeCell="L1" sqref="L1"/>
    </sheetView>
  </sheetViews>
  <sheetFormatPr defaultRowHeight="15.6" x14ac:dyDescent="0.3"/>
  <cols>
    <col min="1" max="1" width="15.77734375" bestFit="1" customWidth="1"/>
    <col min="2" max="2" width="20.33203125" bestFit="1" customWidth="1"/>
    <col min="3" max="3" width="19.5546875" customWidth="1"/>
    <col min="4" max="4" width="22.5546875" bestFit="1" customWidth="1"/>
    <col min="5" max="5" width="22" customWidth="1"/>
    <col min="6" max="6" width="20.21875" customWidth="1"/>
    <col min="7" max="7" width="6.88671875" bestFit="1" customWidth="1"/>
    <col min="8" max="8" width="10.44140625" style="2" bestFit="1" customWidth="1"/>
    <col min="10" max="10" width="11.5546875" bestFit="1" customWidth="1"/>
    <col min="11" max="12" width="13.44140625" bestFit="1" customWidth="1"/>
    <col min="13" max="13" width="11.44140625" customWidth="1"/>
    <col min="18" max="18" width="33.77734375" bestFit="1" customWidth="1"/>
  </cols>
  <sheetData>
    <row r="1" spans="1:16" ht="31.8" customHeight="1" x14ac:dyDescent="0.3">
      <c r="A1" s="91" t="s">
        <v>172</v>
      </c>
      <c r="B1" s="91" t="s">
        <v>173</v>
      </c>
      <c r="C1" s="91" t="s">
        <v>174</v>
      </c>
      <c r="D1" s="91" t="s">
        <v>178</v>
      </c>
      <c r="E1" s="91" t="s">
        <v>179</v>
      </c>
      <c r="F1" s="91" t="s">
        <v>175</v>
      </c>
      <c r="G1" s="77" t="s">
        <v>176</v>
      </c>
      <c r="H1" s="85" t="s">
        <v>177</v>
      </c>
      <c r="I1" s="76" t="s">
        <v>180</v>
      </c>
      <c r="J1" s="76" t="s">
        <v>181</v>
      </c>
      <c r="K1" s="114" t="s">
        <v>199</v>
      </c>
      <c r="L1" s="110" t="s">
        <v>197</v>
      </c>
      <c r="M1" s="111" t="s">
        <v>198</v>
      </c>
      <c r="O1" s="85" t="s">
        <v>177</v>
      </c>
      <c r="P1" s="76" t="s">
        <v>180</v>
      </c>
    </row>
    <row r="2" spans="1:16" ht="15" x14ac:dyDescent="0.3">
      <c r="A2" s="90">
        <v>44866</v>
      </c>
      <c r="B2" s="90">
        <v>45293</v>
      </c>
      <c r="C2" s="84">
        <f>+ROUND((100000/(1+H2/100)^(G2/252)),2)</f>
        <v>86908.49</v>
      </c>
      <c r="D2" s="88"/>
      <c r="E2" s="88"/>
      <c r="F2" s="89"/>
      <c r="G2" s="78">
        <f>NETWORKDAYS(A2,B2-1,Feriados!$A$2:$A$2000)</f>
        <v>291</v>
      </c>
      <c r="H2" s="86">
        <v>12.92</v>
      </c>
      <c r="I2" s="87">
        <v>13.65</v>
      </c>
      <c r="J2" s="80">
        <f>TRUNC(+(1+I2/100)^(1/252),7)</f>
        <v>1.0005078000000001</v>
      </c>
      <c r="K2" s="117">
        <f>+C2</f>
        <v>86908.49</v>
      </c>
      <c r="L2" s="117">
        <f>+C2</f>
        <v>86908.49</v>
      </c>
      <c r="M2" s="117">
        <f>+C2</f>
        <v>86908.49</v>
      </c>
      <c r="O2" s="86">
        <v>12.92</v>
      </c>
      <c r="P2" s="87">
        <v>13.65</v>
      </c>
    </row>
    <row r="3" spans="1:16" ht="15" x14ac:dyDescent="0.3">
      <c r="A3" s="90">
        <v>44868</v>
      </c>
      <c r="B3" s="90">
        <v>45293</v>
      </c>
      <c r="C3" s="84">
        <f t="shared" ref="C3:C20" si="0">+ROUND((100000/(1+H3/100)^(G3/252)),2)</f>
        <v>86901.7</v>
      </c>
      <c r="D3" s="84">
        <f>+C2</f>
        <v>86908.49</v>
      </c>
      <c r="E3" s="84">
        <f>D3*J3</f>
        <v>86952.622131222015</v>
      </c>
      <c r="F3" s="93">
        <f t="shared" ref="F3:F20" si="1">ROUND(+C3-E3,2)</f>
        <v>-50.92</v>
      </c>
      <c r="G3" s="78">
        <f>NETWORKDAYS(A3,B3-1,Feriados!$A$2:$A$2000)</f>
        <v>290</v>
      </c>
      <c r="H3" s="86">
        <v>12.975</v>
      </c>
      <c r="I3" s="87">
        <v>13.65</v>
      </c>
      <c r="J3" s="80">
        <f>TRUNC(+(1+I3/100)^(1/252),7)</f>
        <v>1.0005078000000001</v>
      </c>
      <c r="K3" s="107">
        <f>+K2*J2</f>
        <v>86952.622131222015</v>
      </c>
      <c r="L3" s="107">
        <f>+(L2*J2)-F3</f>
        <v>87003.542131222013</v>
      </c>
      <c r="M3" s="107">
        <f>+(M2*J2)+F3</f>
        <v>86901.702131222017</v>
      </c>
      <c r="O3" s="86">
        <v>12.975</v>
      </c>
      <c r="P3" s="87">
        <v>13.65</v>
      </c>
    </row>
    <row r="4" spans="1:16" ht="15" x14ac:dyDescent="0.3">
      <c r="A4" s="90">
        <v>44869</v>
      </c>
      <c r="B4" s="90">
        <v>45293</v>
      </c>
      <c r="C4" s="84">
        <f t="shared" si="0"/>
        <v>86974.68</v>
      </c>
      <c r="D4" s="84">
        <f t="shared" ref="D4:D20" si="2">+C3</f>
        <v>86901.7</v>
      </c>
      <c r="E4" s="84">
        <f t="shared" ref="E4:E20" si="3">ROUND(D4*J4,2)</f>
        <v>86945.83</v>
      </c>
      <c r="F4" s="93">
        <f t="shared" si="1"/>
        <v>28.85</v>
      </c>
      <c r="G4" s="78">
        <f>NETWORKDAYS(A4,B4-1,Feriados!$A$2:$A$2000)</f>
        <v>289</v>
      </c>
      <c r="H4" s="86">
        <v>12.94</v>
      </c>
      <c r="I4" s="87">
        <v>13.65</v>
      </c>
      <c r="J4" s="80">
        <f t="shared" ref="J4:J20" si="4">TRUNC(+(1+I4/100)^(1/252),7)</f>
        <v>1.0005078000000001</v>
      </c>
      <c r="K4" s="107">
        <f t="shared" ref="K4:K20" si="5">+K3*J3</f>
        <v>86996.776672740249</v>
      </c>
      <c r="L4" s="107">
        <f t="shared" ref="L4:L20" si="6">+(L3*J3)-F4</f>
        <v>87018.872529916247</v>
      </c>
      <c r="M4" s="107">
        <f t="shared" ref="M4:M20" si="7">+(M3*J3)+F4</f>
        <v>86974.680815564265</v>
      </c>
      <c r="O4" s="86">
        <v>12.94</v>
      </c>
      <c r="P4" s="87">
        <v>13.65</v>
      </c>
    </row>
    <row r="5" spans="1:16" ht="15" x14ac:dyDescent="0.3">
      <c r="A5" s="90">
        <v>44872</v>
      </c>
      <c r="B5" s="90">
        <v>45293</v>
      </c>
      <c r="C5" s="84">
        <f t="shared" si="0"/>
        <v>86933.11</v>
      </c>
      <c r="D5" s="84">
        <f t="shared" si="2"/>
        <v>86974.68</v>
      </c>
      <c r="E5" s="84">
        <f t="shared" si="3"/>
        <v>87018.85</v>
      </c>
      <c r="F5" s="93">
        <f t="shared" si="1"/>
        <v>-85.74</v>
      </c>
      <c r="G5" s="78">
        <f>NETWORKDAYS(A5,B5-1,Feriados!$A$2:$A$2000)</f>
        <v>288</v>
      </c>
      <c r="H5" s="86">
        <v>13.035</v>
      </c>
      <c r="I5" s="87">
        <v>13.65</v>
      </c>
      <c r="J5" s="80">
        <f t="shared" si="4"/>
        <v>1.0005078000000001</v>
      </c>
      <c r="K5" s="107">
        <f t="shared" si="5"/>
        <v>87040.953635934668</v>
      </c>
      <c r="L5" s="107">
        <f t="shared" si="6"/>
        <v>87148.800713386954</v>
      </c>
      <c r="M5" s="107">
        <f t="shared" si="7"/>
        <v>86933.10655848241</v>
      </c>
      <c r="O5" s="86">
        <v>13.035</v>
      </c>
      <c r="P5" s="87">
        <v>13.65</v>
      </c>
    </row>
    <row r="6" spans="1:16" ht="15" x14ac:dyDescent="0.3">
      <c r="A6" s="90">
        <v>44873</v>
      </c>
      <c r="B6" s="90">
        <v>45293</v>
      </c>
      <c r="C6" s="84">
        <f t="shared" si="0"/>
        <v>86957.86</v>
      </c>
      <c r="D6" s="84">
        <f t="shared" si="2"/>
        <v>86933.11</v>
      </c>
      <c r="E6" s="84">
        <f t="shared" si="3"/>
        <v>86977.25</v>
      </c>
      <c r="F6" s="93">
        <f t="shared" si="1"/>
        <v>-19.39</v>
      </c>
      <c r="G6" s="78">
        <f>NETWORKDAYS(A6,B6-1,Feriados!$A$2:$A$2000)</f>
        <v>287</v>
      </c>
      <c r="H6" s="86">
        <v>13.055</v>
      </c>
      <c r="I6" s="87">
        <v>13.65</v>
      </c>
      <c r="J6" s="80">
        <f t="shared" si="4"/>
        <v>1.0005078000000001</v>
      </c>
      <c r="K6" s="107">
        <f t="shared" si="5"/>
        <v>87085.153032190996</v>
      </c>
      <c r="L6" s="107">
        <f t="shared" si="6"/>
        <v>87212.444874389214</v>
      </c>
      <c r="M6" s="107">
        <f t="shared" si="7"/>
        <v>86957.861189992807</v>
      </c>
      <c r="O6" s="86">
        <v>13.055</v>
      </c>
      <c r="P6" s="87">
        <v>13.65</v>
      </c>
    </row>
    <row r="7" spans="1:16" ht="15" x14ac:dyDescent="0.3">
      <c r="A7" s="90">
        <v>44874</v>
      </c>
      <c r="B7" s="90">
        <v>45293</v>
      </c>
      <c r="C7" s="84">
        <f t="shared" si="0"/>
        <v>87004.58</v>
      </c>
      <c r="D7" s="84">
        <f t="shared" si="2"/>
        <v>86957.86</v>
      </c>
      <c r="E7" s="84">
        <f t="shared" si="3"/>
        <v>87002.02</v>
      </c>
      <c r="F7" s="93">
        <f t="shared" si="1"/>
        <v>2.56</v>
      </c>
      <c r="G7" s="78">
        <f>NETWORKDAYS(A7,B7-1,Feriados!$A$2:$A$2000)</f>
        <v>286</v>
      </c>
      <c r="H7" s="86">
        <v>13.05</v>
      </c>
      <c r="I7" s="87">
        <v>13.65</v>
      </c>
      <c r="J7" s="80">
        <f t="shared" si="4"/>
        <v>1.0005078000000001</v>
      </c>
      <c r="K7" s="107">
        <f t="shared" si="5"/>
        <v>87129.374872900749</v>
      </c>
      <c r="L7" s="107">
        <f t="shared" si="6"/>
        <v>87254.17135389644</v>
      </c>
      <c r="M7" s="107">
        <f t="shared" si="7"/>
        <v>87004.578391905088</v>
      </c>
      <c r="O7" s="86">
        <v>13.05</v>
      </c>
      <c r="P7" s="87">
        <v>13.65</v>
      </c>
    </row>
    <row r="8" spans="1:16" ht="15" x14ac:dyDescent="0.3">
      <c r="A8" s="90">
        <v>44875</v>
      </c>
      <c r="B8" s="90">
        <v>45293</v>
      </c>
      <c r="C8" s="84">
        <f t="shared" si="0"/>
        <v>86544.62</v>
      </c>
      <c r="D8" s="84">
        <f t="shared" si="2"/>
        <v>87004.58</v>
      </c>
      <c r="E8" s="84">
        <f t="shared" si="3"/>
        <v>87048.76</v>
      </c>
      <c r="F8" s="93">
        <f t="shared" si="1"/>
        <v>-504.14</v>
      </c>
      <c r="G8" s="78">
        <f>NETWORKDAYS(A8,B8-1,Feriados!$A$2:$A$2000)</f>
        <v>285</v>
      </c>
      <c r="H8" s="86">
        <v>13.63</v>
      </c>
      <c r="I8" s="87">
        <v>13.65</v>
      </c>
      <c r="J8" s="80">
        <f t="shared" si="4"/>
        <v>1.0005078000000001</v>
      </c>
      <c r="K8" s="107">
        <f t="shared" si="5"/>
        <v>87173.619169461206</v>
      </c>
      <c r="L8" s="107">
        <f t="shared" si="6"/>
        <v>87802.619022109953</v>
      </c>
      <c r="M8" s="107">
        <f t="shared" si="7"/>
        <v>86544.619316812503</v>
      </c>
      <c r="O8" s="86">
        <v>13.63</v>
      </c>
      <c r="P8" s="87">
        <v>13.65</v>
      </c>
    </row>
    <row r="9" spans="1:16" ht="15" x14ac:dyDescent="0.3">
      <c r="A9" s="90">
        <v>44876</v>
      </c>
      <c r="B9" s="90">
        <v>45293</v>
      </c>
      <c r="C9" s="84">
        <f t="shared" si="0"/>
        <v>86340.14</v>
      </c>
      <c r="D9" s="84">
        <f t="shared" si="2"/>
        <v>86544.62</v>
      </c>
      <c r="E9" s="84">
        <f t="shared" si="3"/>
        <v>86588.57</v>
      </c>
      <c r="F9" s="93">
        <f t="shared" si="1"/>
        <v>-248.43</v>
      </c>
      <c r="G9" s="78">
        <f>NETWORKDAYS(A9,B9-1,Feriados!$A$2:$A$2000)</f>
        <v>284</v>
      </c>
      <c r="H9" s="86">
        <v>13.92</v>
      </c>
      <c r="I9" s="87">
        <v>13.65</v>
      </c>
      <c r="J9" s="80">
        <f t="shared" si="4"/>
        <v>1.0005078000000001</v>
      </c>
      <c r="K9" s="107">
        <f t="shared" si="5"/>
        <v>87217.885933275466</v>
      </c>
      <c r="L9" s="107">
        <f t="shared" si="6"/>
        <v>88095.635192049376</v>
      </c>
      <c r="M9" s="107">
        <f t="shared" si="7"/>
        <v>86340.136674501598</v>
      </c>
      <c r="O9" s="86">
        <v>13.92</v>
      </c>
      <c r="P9" s="87">
        <v>13.65</v>
      </c>
    </row>
    <row r="10" spans="1:16" ht="15" x14ac:dyDescent="0.3">
      <c r="A10" s="90">
        <v>44879</v>
      </c>
      <c r="B10" s="90">
        <v>45293</v>
      </c>
      <c r="C10" s="84">
        <f t="shared" si="0"/>
        <v>86529.8</v>
      </c>
      <c r="D10" s="84">
        <f t="shared" si="2"/>
        <v>86340.14</v>
      </c>
      <c r="E10" s="84">
        <f t="shared" si="3"/>
        <v>86383.98</v>
      </c>
      <c r="F10" s="93">
        <f t="shared" si="1"/>
        <v>145.82</v>
      </c>
      <c r="G10" s="78">
        <f>NETWORKDAYS(A10,B10-1,Feriados!$A$2:$A$2000)</f>
        <v>283</v>
      </c>
      <c r="H10" s="86">
        <v>13.75</v>
      </c>
      <c r="I10" s="87">
        <v>13.65</v>
      </c>
      <c r="J10" s="80">
        <f t="shared" si="4"/>
        <v>1.0005078000000001</v>
      </c>
      <c r="K10" s="107">
        <f t="shared" si="5"/>
        <v>87262.175175752389</v>
      </c>
      <c r="L10" s="107">
        <f t="shared" si="6"/>
        <v>87994.550155599893</v>
      </c>
      <c r="M10" s="107">
        <f t="shared" si="7"/>
        <v>86529.800195904929</v>
      </c>
      <c r="O10" s="86">
        <v>13.75</v>
      </c>
      <c r="P10" s="87">
        <v>13.65</v>
      </c>
    </row>
    <row r="11" spans="1:16" ht="15" x14ac:dyDescent="0.3">
      <c r="A11" s="90">
        <v>44881</v>
      </c>
      <c r="B11" s="90">
        <v>45293</v>
      </c>
      <c r="C11" s="84">
        <f t="shared" si="0"/>
        <v>86293.85</v>
      </c>
      <c r="D11" s="84">
        <f t="shared" si="2"/>
        <v>86529.8</v>
      </c>
      <c r="E11" s="84">
        <f t="shared" si="3"/>
        <v>86573.74</v>
      </c>
      <c r="F11" s="93">
        <f t="shared" si="1"/>
        <v>-279.89</v>
      </c>
      <c r="G11" s="78">
        <f>NETWORKDAYS(A11,B11-1,Feriados!$A$2:$A$2000)</f>
        <v>282</v>
      </c>
      <c r="H11" s="86">
        <v>14.08</v>
      </c>
      <c r="I11" s="87">
        <v>13.65</v>
      </c>
      <c r="J11" s="80">
        <f t="shared" si="4"/>
        <v>1.0005078000000001</v>
      </c>
      <c r="K11" s="107">
        <f t="shared" si="5"/>
        <v>87306.486908306644</v>
      </c>
      <c r="L11" s="107">
        <f t="shared" si="6"/>
        <v>88319.123788168916</v>
      </c>
      <c r="M11" s="107">
        <f t="shared" si="7"/>
        <v>86293.850028444416</v>
      </c>
      <c r="O11" s="86">
        <v>14.08</v>
      </c>
      <c r="P11" s="87">
        <v>13.65</v>
      </c>
    </row>
    <row r="12" spans="1:16" ht="15" x14ac:dyDescent="0.3">
      <c r="A12" s="90">
        <v>44882</v>
      </c>
      <c r="B12" s="90">
        <v>45293</v>
      </c>
      <c r="C12" s="84">
        <f t="shared" si="0"/>
        <v>86279.93</v>
      </c>
      <c r="D12" s="84">
        <f t="shared" si="2"/>
        <v>86293.85</v>
      </c>
      <c r="E12" s="84">
        <f t="shared" si="3"/>
        <v>86337.67</v>
      </c>
      <c r="F12" s="93">
        <f t="shared" si="1"/>
        <v>-57.74</v>
      </c>
      <c r="G12" s="78">
        <f>NETWORKDAYS(A12,B12-1,Feriados!$A$2:$A$2000)</f>
        <v>281</v>
      </c>
      <c r="H12" s="86">
        <v>14.15</v>
      </c>
      <c r="I12" s="87">
        <v>13.65</v>
      </c>
      <c r="J12" s="80">
        <f t="shared" si="4"/>
        <v>1.0005078000000001</v>
      </c>
      <c r="K12" s="107">
        <f t="shared" si="5"/>
        <v>87350.821142358691</v>
      </c>
      <c r="L12" s="107">
        <f t="shared" si="6"/>
        <v>88421.712239228553</v>
      </c>
      <c r="M12" s="107">
        <f t="shared" si="7"/>
        <v>86279.930045488858</v>
      </c>
      <c r="O12" s="86">
        <v>14.15</v>
      </c>
      <c r="P12" s="87">
        <v>13.65</v>
      </c>
    </row>
    <row r="13" spans="1:16" ht="15" x14ac:dyDescent="0.3">
      <c r="A13" s="90">
        <v>44883</v>
      </c>
      <c r="B13" s="90">
        <v>45293</v>
      </c>
      <c r="C13" s="84">
        <f t="shared" si="0"/>
        <v>86170.07</v>
      </c>
      <c r="D13" s="84">
        <f t="shared" si="2"/>
        <v>86279.93</v>
      </c>
      <c r="E13" s="84">
        <f t="shared" si="3"/>
        <v>86323.74</v>
      </c>
      <c r="F13" s="93">
        <f t="shared" si="1"/>
        <v>-153.66999999999999</v>
      </c>
      <c r="G13" s="78">
        <f>NETWORKDAYS(A13,B13-1,Feriados!$A$2:$A$2000)</f>
        <v>280</v>
      </c>
      <c r="H13" s="86">
        <v>14.335000000000001</v>
      </c>
      <c r="I13" s="87">
        <v>13.65</v>
      </c>
      <c r="J13" s="80">
        <f t="shared" si="4"/>
        <v>1.0005078000000001</v>
      </c>
      <c r="K13" s="107">
        <f t="shared" si="5"/>
        <v>87395.17788933478</v>
      </c>
      <c r="L13" s="107">
        <f t="shared" si="6"/>
        <v>88620.282784703639</v>
      </c>
      <c r="M13" s="107">
        <f t="shared" si="7"/>
        <v>86170.072993965965</v>
      </c>
      <c r="O13" s="86">
        <v>14.335000000000001</v>
      </c>
      <c r="P13" s="87">
        <v>13.65</v>
      </c>
    </row>
    <row r="14" spans="1:16" ht="15" x14ac:dyDescent="0.3">
      <c r="A14" s="90">
        <v>44886</v>
      </c>
      <c r="B14" s="90">
        <v>45293</v>
      </c>
      <c r="C14" s="84">
        <f t="shared" si="0"/>
        <v>86278.55</v>
      </c>
      <c r="D14" s="84">
        <f t="shared" si="2"/>
        <v>86170.07</v>
      </c>
      <c r="E14" s="84">
        <f t="shared" si="3"/>
        <v>86213.83</v>
      </c>
      <c r="F14" s="93">
        <f t="shared" si="1"/>
        <v>64.72</v>
      </c>
      <c r="G14" s="78">
        <f>NETWORKDAYS(A14,B14-1,Feriados!$A$2:$A$2000)</f>
        <v>279</v>
      </c>
      <c r="H14" s="86">
        <v>14.26</v>
      </c>
      <c r="I14" s="87">
        <v>13.65</v>
      </c>
      <c r="J14" s="80">
        <f t="shared" si="4"/>
        <v>1.0005078000000001</v>
      </c>
      <c r="K14" s="107">
        <f t="shared" si="5"/>
        <v>87439.557160666984</v>
      </c>
      <c r="L14" s="107">
        <f t="shared" si="6"/>
        <v>88600.564164301715</v>
      </c>
      <c r="M14" s="107">
        <f t="shared" si="7"/>
        <v>86278.55015703231</v>
      </c>
      <c r="O14" s="86">
        <v>14.26</v>
      </c>
      <c r="P14" s="87">
        <v>13.65</v>
      </c>
    </row>
    <row r="15" spans="1:16" ht="15" x14ac:dyDescent="0.3">
      <c r="A15" s="90">
        <v>44887</v>
      </c>
      <c r="B15" s="90">
        <v>45293</v>
      </c>
      <c r="C15" s="84">
        <f t="shared" si="0"/>
        <v>86224.3</v>
      </c>
      <c r="D15" s="84">
        <f t="shared" si="2"/>
        <v>86278.55</v>
      </c>
      <c r="E15" s="84">
        <f t="shared" si="3"/>
        <v>86322.36</v>
      </c>
      <c r="F15" s="93">
        <f t="shared" si="1"/>
        <v>-98.06</v>
      </c>
      <c r="G15" s="78">
        <f>NETWORKDAYS(A15,B15-1,Feriados!$A$2:$A$2000)</f>
        <v>278</v>
      </c>
      <c r="H15" s="86">
        <v>14.38</v>
      </c>
      <c r="I15" s="87">
        <v>13.65</v>
      </c>
      <c r="J15" s="80">
        <f t="shared" si="4"/>
        <v>1.0005078000000001</v>
      </c>
      <c r="K15" s="107">
        <f t="shared" si="5"/>
        <v>87483.95896779318</v>
      </c>
      <c r="L15" s="107">
        <f t="shared" si="6"/>
        <v>88743.615530784344</v>
      </c>
      <c r="M15" s="107">
        <f t="shared" si="7"/>
        <v>86224.30240480206</v>
      </c>
      <c r="O15" s="86">
        <v>14.38</v>
      </c>
      <c r="P15" s="87">
        <v>13.65</v>
      </c>
    </row>
    <row r="16" spans="1:16" ht="15" x14ac:dyDescent="0.3">
      <c r="A16" s="90">
        <v>44888</v>
      </c>
      <c r="B16" s="90">
        <v>45293</v>
      </c>
      <c r="C16" s="84">
        <f t="shared" si="0"/>
        <v>86100.64</v>
      </c>
      <c r="D16" s="84">
        <f t="shared" si="2"/>
        <v>86224.3</v>
      </c>
      <c r="E16" s="84">
        <f t="shared" si="3"/>
        <v>86268.08</v>
      </c>
      <c r="F16" s="93">
        <f t="shared" si="1"/>
        <v>-167.44</v>
      </c>
      <c r="G16" s="78">
        <f>NETWORKDAYS(A16,B16-1,Feriados!$A$2:$A$2000)</f>
        <v>277</v>
      </c>
      <c r="H16" s="86">
        <v>14.585000000000001</v>
      </c>
      <c r="I16" s="87">
        <v>13.65</v>
      </c>
      <c r="J16" s="80">
        <f t="shared" si="4"/>
        <v>1.0005078000000001</v>
      </c>
      <c r="K16" s="107">
        <f t="shared" si="5"/>
        <v>87528.383322157024</v>
      </c>
      <c r="L16" s="107">
        <f t="shared" si="6"/>
        <v>88956.119538750878</v>
      </c>
      <c r="M16" s="107">
        <f t="shared" si="7"/>
        <v>86100.647105563214</v>
      </c>
      <c r="O16" s="86">
        <v>14.585000000000001</v>
      </c>
      <c r="P16" s="87">
        <v>13.65</v>
      </c>
    </row>
    <row r="17" spans="1:16" ht="15" x14ac:dyDescent="0.3">
      <c r="A17" s="90">
        <v>44889</v>
      </c>
      <c r="B17" s="90">
        <v>45293</v>
      </c>
      <c r="C17" s="84">
        <f t="shared" si="0"/>
        <v>86374.18</v>
      </c>
      <c r="D17" s="84">
        <f t="shared" si="2"/>
        <v>86100.64</v>
      </c>
      <c r="E17" s="84">
        <f t="shared" si="3"/>
        <v>86144.36</v>
      </c>
      <c r="F17" s="93">
        <f t="shared" si="1"/>
        <v>229.82</v>
      </c>
      <c r="G17" s="78">
        <f>NETWORKDAYS(A17,B17-1,Feriados!$A$2:$A$2000)</f>
        <v>276</v>
      </c>
      <c r="H17" s="86">
        <v>14.31</v>
      </c>
      <c r="I17" s="87">
        <v>13.65</v>
      </c>
      <c r="J17" s="80">
        <f t="shared" si="4"/>
        <v>1.0005078000000001</v>
      </c>
      <c r="K17" s="107">
        <f t="shared" si="5"/>
        <v>87572.830235208021</v>
      </c>
      <c r="L17" s="107">
        <f t="shared" si="6"/>
        <v>88771.47145625265</v>
      </c>
      <c r="M17" s="107">
        <f t="shared" si="7"/>
        <v>86374.189014163436</v>
      </c>
      <c r="O17" s="86">
        <v>14.31</v>
      </c>
      <c r="P17" s="87">
        <v>13.65</v>
      </c>
    </row>
    <row r="18" spans="1:16" ht="15" x14ac:dyDescent="0.3">
      <c r="A18" s="90">
        <v>44890</v>
      </c>
      <c r="B18" s="90">
        <v>45293</v>
      </c>
      <c r="C18" s="84">
        <f t="shared" si="0"/>
        <v>86280</v>
      </c>
      <c r="D18" s="84">
        <f t="shared" si="2"/>
        <v>86374.18</v>
      </c>
      <c r="E18" s="84">
        <f t="shared" si="3"/>
        <v>86418.04</v>
      </c>
      <c r="F18" s="93">
        <f t="shared" si="1"/>
        <v>-138.04</v>
      </c>
      <c r="G18" s="78">
        <f>NETWORKDAYS(A18,B18-1,Feriados!$A$2:$A$2000)</f>
        <v>275</v>
      </c>
      <c r="H18" s="86">
        <v>14.48</v>
      </c>
      <c r="I18" s="87">
        <v>13.65</v>
      </c>
      <c r="J18" s="80">
        <f t="shared" si="4"/>
        <v>1.0005078000000001</v>
      </c>
      <c r="K18" s="107">
        <f t="shared" si="5"/>
        <v>87617.299718401468</v>
      </c>
      <c r="L18" s="107">
        <f t="shared" si="6"/>
        <v>88954.58960945814</v>
      </c>
      <c r="M18" s="107">
        <f t="shared" si="7"/>
        <v>86280.009827344838</v>
      </c>
      <c r="O18" s="86">
        <v>14.48</v>
      </c>
      <c r="P18" s="87">
        <v>13.65</v>
      </c>
    </row>
    <row r="19" spans="1:16" ht="15" x14ac:dyDescent="0.3">
      <c r="A19" s="90">
        <v>44893</v>
      </c>
      <c r="B19" s="90">
        <v>45293</v>
      </c>
      <c r="C19" s="84">
        <f t="shared" si="0"/>
        <v>86482.36</v>
      </c>
      <c r="D19" s="84">
        <f t="shared" si="2"/>
        <v>86280</v>
      </c>
      <c r="E19" s="84">
        <f t="shared" si="3"/>
        <v>86323.81</v>
      </c>
      <c r="F19" s="93">
        <f t="shared" si="1"/>
        <v>158.55000000000001</v>
      </c>
      <c r="G19" s="78">
        <f>NETWORKDAYS(A19,B19-1,Feriados!$A$2:$A$2000)</f>
        <v>274</v>
      </c>
      <c r="H19" s="86">
        <v>14.29</v>
      </c>
      <c r="I19" s="87">
        <v>13.65</v>
      </c>
      <c r="J19" s="80">
        <f t="shared" si="4"/>
        <v>1.0005078000000001</v>
      </c>
      <c r="K19" s="107">
        <f t="shared" si="5"/>
        <v>87661.791783198481</v>
      </c>
      <c r="L19" s="107">
        <f t="shared" si="6"/>
        <v>88841.210750061829</v>
      </c>
      <c r="M19" s="107">
        <f t="shared" si="7"/>
        <v>86482.372816335177</v>
      </c>
      <c r="O19" s="86">
        <v>14.29</v>
      </c>
      <c r="P19" s="87">
        <v>13.65</v>
      </c>
    </row>
    <row r="20" spans="1:16" ht="15" x14ac:dyDescent="0.3">
      <c r="A20" s="90">
        <v>44894</v>
      </c>
      <c r="B20" s="90">
        <v>45293</v>
      </c>
      <c r="C20" s="84">
        <f t="shared" si="0"/>
        <v>86795.57</v>
      </c>
      <c r="D20" s="84">
        <f t="shared" si="2"/>
        <v>86482.36</v>
      </c>
      <c r="E20" s="84">
        <f t="shared" si="3"/>
        <v>86526.28</v>
      </c>
      <c r="F20" s="93">
        <f t="shared" si="1"/>
        <v>269.29000000000002</v>
      </c>
      <c r="G20" s="78">
        <f>NETWORKDAYS(A20,B20-1,Feriados!$A$2:$A$2000)</f>
        <v>273</v>
      </c>
      <c r="H20" s="86">
        <v>13.965</v>
      </c>
      <c r="I20" s="87">
        <v>13.65</v>
      </c>
      <c r="J20" s="80">
        <f t="shared" si="4"/>
        <v>1.0005078000000001</v>
      </c>
      <c r="K20" s="107">
        <f t="shared" si="5"/>
        <v>87706.306441066001</v>
      </c>
      <c r="L20" s="107">
        <f t="shared" si="6"/>
        <v>88617.034316880716</v>
      </c>
      <c r="M20" s="107">
        <f t="shared" si="7"/>
        <v>86795.578565251315</v>
      </c>
      <c r="O20" s="86">
        <v>13.965</v>
      </c>
      <c r="P20" s="87">
        <v>13.65</v>
      </c>
    </row>
    <row r="21" spans="1:16" x14ac:dyDescent="0.3">
      <c r="K21" s="108"/>
      <c r="L21" s="108"/>
      <c r="M21" s="108"/>
    </row>
    <row r="22" spans="1:16" ht="23.4" x14ac:dyDescent="0.3">
      <c r="C22" s="103"/>
      <c r="F22" s="98">
        <f>SUM(F3:F21)</f>
        <v>-903.85000000000014</v>
      </c>
      <c r="H22" s="94">
        <f>+H20-H2</f>
        <v>1.0449999999999999</v>
      </c>
      <c r="I22" s="94">
        <f>+I20-I2</f>
        <v>0</v>
      </c>
      <c r="K22" s="118">
        <f>+K20-K2</f>
        <v>797.8164410659956</v>
      </c>
      <c r="L22" s="118">
        <f>+L20-L2</f>
        <v>1708.5443168807105</v>
      </c>
      <c r="M22" s="118">
        <f>+M20-M2</f>
        <v>-112.91143474869023</v>
      </c>
    </row>
    <row r="23" spans="1:16" x14ac:dyDescent="0.3">
      <c r="C23" s="103"/>
      <c r="K23" s="109">
        <f>+K20/K2-1</f>
        <v>9.1799597607322703E-3</v>
      </c>
      <c r="L23" s="109">
        <f>+L20/L2-1</f>
        <v>1.9659118653203134E-2</v>
      </c>
      <c r="M23" s="109">
        <f>+M20/M2-1</f>
        <v>-1.2991991317383711E-3</v>
      </c>
    </row>
    <row r="24" spans="1:16" ht="23.4" x14ac:dyDescent="0.3">
      <c r="C24" s="102"/>
      <c r="I24" s="92">
        <f>AVERAGE(I2:I20)</f>
        <v>13.650000000000004</v>
      </c>
    </row>
    <row r="25" spans="1:16" x14ac:dyDescent="0.3">
      <c r="K25" s="112">
        <f>+L23-K23</f>
        <v>1.0479158892470863E-2</v>
      </c>
      <c r="L25" s="119" t="s">
        <v>200</v>
      </c>
      <c r="M25" s="112">
        <f>+M23-K23</f>
        <v>-1.0479158892470641E-2</v>
      </c>
    </row>
    <row r="26" spans="1:16" x14ac:dyDescent="0.3">
      <c r="M26" s="113"/>
    </row>
    <row r="31" spans="1:16" ht="17.399999999999999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188F-C9A6-4B9F-8DBD-70D45AB1D7A0}">
  <dimension ref="A1:AC748"/>
  <sheetViews>
    <sheetView workbookViewId="0"/>
  </sheetViews>
  <sheetFormatPr defaultRowHeight="14.4" x14ac:dyDescent="0.3"/>
  <cols>
    <col min="1" max="1" width="12.44140625" customWidth="1"/>
    <col min="2" max="2" width="10.77734375" bestFit="1" customWidth="1"/>
    <col min="3" max="3" width="10.5546875" bestFit="1" customWidth="1"/>
    <col min="4" max="4" width="8.5546875" bestFit="1" customWidth="1"/>
    <col min="5" max="5" width="7.6640625" bestFit="1" customWidth="1"/>
    <col min="6" max="6" width="12.44140625" bestFit="1" customWidth="1"/>
    <col min="7" max="7" width="9.88671875" customWidth="1"/>
    <col min="8" max="8" width="14.77734375" customWidth="1"/>
    <col min="9" max="9" width="9.88671875" customWidth="1"/>
    <col min="10" max="10" width="10.5546875" bestFit="1" customWidth="1"/>
    <col min="11" max="11" width="9.88671875" customWidth="1"/>
    <col min="12" max="12" width="7.6640625" bestFit="1" customWidth="1"/>
    <col min="13" max="13" width="14.5546875" customWidth="1"/>
    <col min="14" max="14" width="15.109375" bestFit="1" customWidth="1"/>
    <col min="15" max="15" width="9.88671875" customWidth="1"/>
    <col min="16" max="16" width="11.109375" customWidth="1"/>
    <col min="17" max="17" width="19.109375" bestFit="1" customWidth="1"/>
    <col min="18" max="18" width="12.109375" bestFit="1" customWidth="1"/>
    <col min="20" max="20" width="8.109375" bestFit="1" customWidth="1"/>
    <col min="21" max="21" width="10.44140625" bestFit="1" customWidth="1"/>
    <col min="22" max="22" width="19.44140625" bestFit="1" customWidth="1"/>
    <col min="23" max="23" width="9.33203125" bestFit="1" customWidth="1"/>
    <col min="24" max="24" width="12.109375" bestFit="1" customWidth="1"/>
    <col min="27" max="27" width="8.5546875" bestFit="1" customWidth="1"/>
    <col min="28" max="28" width="9.88671875" customWidth="1"/>
    <col min="29" max="29" width="15.109375" bestFit="1" customWidth="1"/>
  </cols>
  <sheetData>
    <row r="1" spans="1:29" ht="15" thickBot="1" x14ac:dyDescent="0.35">
      <c r="A1" s="120" t="s">
        <v>0</v>
      </c>
      <c r="B1" s="121" t="s">
        <v>14</v>
      </c>
      <c r="C1" s="121" t="s">
        <v>1</v>
      </c>
      <c r="D1" s="121" t="s">
        <v>215</v>
      </c>
      <c r="E1" s="121" t="s">
        <v>201</v>
      </c>
      <c r="F1" s="121" t="s">
        <v>202</v>
      </c>
      <c r="G1" s="121" t="s">
        <v>205</v>
      </c>
      <c r="H1" s="121" t="s">
        <v>214</v>
      </c>
      <c r="I1" s="121" t="s">
        <v>210</v>
      </c>
      <c r="J1" s="122" t="s">
        <v>206</v>
      </c>
      <c r="K1" s="122" t="s">
        <v>204</v>
      </c>
      <c r="L1" s="122" t="s">
        <v>201</v>
      </c>
      <c r="M1" s="122" t="s">
        <v>203</v>
      </c>
      <c r="N1" s="123" t="s">
        <v>207</v>
      </c>
      <c r="O1" s="122" t="s">
        <v>208</v>
      </c>
      <c r="P1" s="120" t="s">
        <v>205</v>
      </c>
      <c r="Q1" s="143" t="s">
        <v>213</v>
      </c>
      <c r="R1" s="143" t="s">
        <v>210</v>
      </c>
      <c r="S1" s="131" t="s">
        <v>211</v>
      </c>
      <c r="T1" s="131" t="s">
        <v>201</v>
      </c>
      <c r="U1" s="131" t="s">
        <v>202</v>
      </c>
      <c r="V1" s="131" t="s">
        <v>212</v>
      </c>
      <c r="W1" s="121" t="s">
        <v>209</v>
      </c>
      <c r="X1" s="121" t="s">
        <v>210</v>
      </c>
      <c r="AA1" s="121" t="s">
        <v>215</v>
      </c>
      <c r="AB1" s="122" t="s">
        <v>204</v>
      </c>
      <c r="AC1" s="123" t="s">
        <v>207</v>
      </c>
    </row>
    <row r="2" spans="1:29" ht="15" thickTop="1" x14ac:dyDescent="0.3">
      <c r="A2" s="134">
        <v>44804</v>
      </c>
      <c r="B2" s="134">
        <v>45292</v>
      </c>
      <c r="C2" s="135">
        <f>NETWORKDAYS(A2,B2-1,Feriados!$A$2:$A$2000)</f>
        <v>333</v>
      </c>
      <c r="D2" s="128">
        <v>13.049099999999999</v>
      </c>
      <c r="E2" s="137"/>
      <c r="F2" s="138">
        <f t="shared" ref="F2:F60" si="0">+TRUNC((1000/(1+D2/100)^(C2/252)),6)</f>
        <v>850.37663599999996</v>
      </c>
      <c r="G2" s="141">
        <f>ROUND(100*F2,2)</f>
        <v>85037.66</v>
      </c>
      <c r="H2" s="137"/>
      <c r="I2" s="139">
        <v>1</v>
      </c>
      <c r="J2" s="134">
        <v>45293</v>
      </c>
      <c r="K2" s="130">
        <v>12.984999999999999</v>
      </c>
      <c r="L2" s="137"/>
      <c r="M2" s="137">
        <f t="shared" ref="M2:M33" si="1">+ROUND((100000/(1+K2/100)^(C2/252)),2)</f>
        <v>85101.42</v>
      </c>
      <c r="N2" s="127">
        <v>13.65</v>
      </c>
      <c r="O2" s="140"/>
      <c r="P2" s="160">
        <f>+M2</f>
        <v>85101.42</v>
      </c>
      <c r="Q2" s="137"/>
      <c r="R2" s="139">
        <v>1</v>
      </c>
      <c r="S2" s="162">
        <f t="shared" ref="S2:S33" si="2">+D2-K2</f>
        <v>6.4099999999999824E-2</v>
      </c>
      <c r="T2" s="137"/>
      <c r="U2" s="137">
        <f t="shared" ref="U2:U33" si="3">+G2</f>
        <v>85037.66</v>
      </c>
      <c r="V2" s="160">
        <f>+G2</f>
        <v>85037.66</v>
      </c>
      <c r="W2" s="137"/>
      <c r="X2" s="139">
        <v>1</v>
      </c>
      <c r="AA2" s="128">
        <v>13.049099999999999</v>
      </c>
      <c r="AB2" s="130">
        <v>12.984999999999999</v>
      </c>
      <c r="AC2" s="127">
        <v>13.65</v>
      </c>
    </row>
    <row r="3" spans="1:29" x14ac:dyDescent="0.3">
      <c r="A3" s="134">
        <v>44805</v>
      </c>
      <c r="B3" s="134">
        <v>45292</v>
      </c>
      <c r="C3" s="135">
        <f>NETWORKDAYS(A3,B3-1,Feriados!$A$2:$A$2000)</f>
        <v>332</v>
      </c>
      <c r="D3" s="128">
        <v>12.9435</v>
      </c>
      <c r="E3" s="137">
        <f t="shared" ref="E3:E61" si="4">+D3-D2</f>
        <v>-0.10559999999999903</v>
      </c>
      <c r="F3" s="138">
        <f t="shared" si="0"/>
        <v>851.83878700000002</v>
      </c>
      <c r="G3" s="137">
        <f>ROUND(100*F3,2)</f>
        <v>85183.88</v>
      </c>
      <c r="H3" s="137">
        <f>+(G3/G2-1)*100</f>
        <v>0.17194734662266953</v>
      </c>
      <c r="I3" s="139">
        <f>+I2*(1+H3/100)</f>
        <v>1.0017194734662267</v>
      </c>
      <c r="J3" s="134">
        <f t="shared" ref="J3:J61" si="5">+J2</f>
        <v>45293</v>
      </c>
      <c r="K3" s="130">
        <v>12.875</v>
      </c>
      <c r="L3" s="137">
        <f t="shared" ref="L3:L65" si="6">+K3-K2</f>
        <v>-0.10999999999999943</v>
      </c>
      <c r="M3" s="137">
        <f t="shared" si="1"/>
        <v>85251.99</v>
      </c>
      <c r="N3" s="127">
        <v>13.65</v>
      </c>
      <c r="O3" s="140">
        <f>M3-(ROUND(((1+N2/100)^(1/252))*M2,2))</f>
        <v>107.35000000000582</v>
      </c>
      <c r="P3" s="137">
        <f t="shared" ref="P3:P34" si="7">+ROUND(((1+N2/100)^(1/252))*P2,2)+O3</f>
        <v>85251.99</v>
      </c>
      <c r="Q3" s="137">
        <f>+(P3/P2-1)*100</f>
        <v>0.17693006767689479</v>
      </c>
      <c r="R3" s="139">
        <f>+R2*(1+Q3/100)</f>
        <v>1.0017693006767689</v>
      </c>
      <c r="S3" s="162">
        <f t="shared" si="2"/>
        <v>6.8500000000000227E-2</v>
      </c>
      <c r="T3" s="157">
        <f t="shared" ref="T3:T65" si="8">+S3-S2</f>
        <v>4.4000000000004036E-3</v>
      </c>
      <c r="U3" s="137">
        <f t="shared" si="3"/>
        <v>85183.88</v>
      </c>
      <c r="V3" s="137">
        <f t="shared" ref="V3:V34" si="9">+U3-O3</f>
        <v>85076.53</v>
      </c>
      <c r="W3" s="137">
        <f>+(V3/U2-1)*100</f>
        <v>4.5709159918083664E-2</v>
      </c>
      <c r="X3" s="139">
        <f>+X2*(1+W3/100)</f>
        <v>1.0004570915991808</v>
      </c>
      <c r="AA3" s="128">
        <v>12.9435</v>
      </c>
      <c r="AB3" s="130">
        <v>12.875</v>
      </c>
      <c r="AC3" s="127">
        <v>13.65</v>
      </c>
    </row>
    <row r="4" spans="1:29" x14ac:dyDescent="0.3">
      <c r="A4" s="134">
        <v>44806</v>
      </c>
      <c r="B4" s="134">
        <v>45292</v>
      </c>
      <c r="C4" s="135">
        <f>NETWORKDAYS(A4,B4-1,Feriados!$A$2:$A$2000)</f>
        <v>331</v>
      </c>
      <c r="D4" s="128">
        <v>12.9137</v>
      </c>
      <c r="E4" s="137">
        <f t="shared" si="4"/>
        <v>-2.9799999999999827E-2</v>
      </c>
      <c r="F4" s="138">
        <f t="shared" si="0"/>
        <v>852.54577900000004</v>
      </c>
      <c r="G4" s="137">
        <f t="shared" ref="G4:G65" si="10">ROUND(100*F4,2)</f>
        <v>85254.58</v>
      </c>
      <c r="H4" s="137">
        <f t="shared" ref="H4:H65" si="11">+(G4/G3-1)*100</f>
        <v>8.2996923831135661E-2</v>
      </c>
      <c r="I4" s="139">
        <f t="shared" ref="I4:I65" si="12">+I3*(1+H4/100)</f>
        <v>1.002550869814621</v>
      </c>
      <c r="J4" s="134">
        <f t="shared" si="5"/>
        <v>45293</v>
      </c>
      <c r="K4" s="130">
        <v>12.845000000000001</v>
      </c>
      <c r="L4" s="137">
        <f t="shared" si="6"/>
        <v>-2.9999999999999361E-2</v>
      </c>
      <c r="M4" s="137">
        <f t="shared" si="1"/>
        <v>85322.76</v>
      </c>
      <c r="N4" s="127">
        <v>13.65</v>
      </c>
      <c r="O4" s="140">
        <f t="shared" ref="O4:O65" si="13">M4-(ROUND(((1+N3/100)^(1/252))*M3,2))</f>
        <v>27.470000000001164</v>
      </c>
      <c r="P4" s="137">
        <f t="shared" si="7"/>
        <v>85322.76</v>
      </c>
      <c r="Q4" s="137">
        <f t="shared" ref="Q4:Q65" si="14">+(P4/P3-1)*100</f>
        <v>8.3012724981545993E-2</v>
      </c>
      <c r="R4" s="139">
        <f t="shared" ref="R4:R65" si="15">+R3*(1+Q4/100)</f>
        <v>1.0026008966712894</v>
      </c>
      <c r="S4" s="162">
        <f t="shared" si="2"/>
        <v>6.8699999999999761E-2</v>
      </c>
      <c r="T4" s="157">
        <f t="shared" si="8"/>
        <v>1.9999999999953388E-4</v>
      </c>
      <c r="U4" s="137">
        <f t="shared" si="3"/>
        <v>85254.58</v>
      </c>
      <c r="V4" s="137">
        <f t="shared" si="9"/>
        <v>85227.11</v>
      </c>
      <c r="W4" s="137">
        <f t="shared" ref="W4:W65" si="16">+(V4/U3-1)*100</f>
        <v>5.0749038433095528E-2</v>
      </c>
      <c r="X4" s="139">
        <f t="shared" ref="X4:X65" si="17">+X3*(1+W4/100)</f>
        <v>1.0009648139531031</v>
      </c>
      <c r="AA4" s="128">
        <v>12.9137</v>
      </c>
      <c r="AB4" s="130">
        <v>12.845000000000001</v>
      </c>
      <c r="AC4" s="127">
        <v>13.65</v>
      </c>
    </row>
    <row r="5" spans="1:29" x14ac:dyDescent="0.3">
      <c r="A5" s="134">
        <v>44809</v>
      </c>
      <c r="B5" s="134">
        <v>45292</v>
      </c>
      <c r="C5" s="135">
        <f>NETWORKDAYS(A5,B5-1,Feriados!$A$2:$A$2000)</f>
        <v>330</v>
      </c>
      <c r="D5" s="128">
        <v>12.8917</v>
      </c>
      <c r="E5" s="137">
        <f t="shared" si="4"/>
        <v>-2.2000000000000242E-2</v>
      </c>
      <c r="F5" s="138">
        <f t="shared" si="0"/>
        <v>853.17444699999999</v>
      </c>
      <c r="G5" s="137">
        <f t="shared" si="10"/>
        <v>85317.440000000002</v>
      </c>
      <c r="H5" s="137">
        <f t="shared" si="11"/>
        <v>7.373210917231976E-2</v>
      </c>
      <c r="I5" s="139">
        <f t="shared" si="12"/>
        <v>1.0032900717164608</v>
      </c>
      <c r="J5" s="134">
        <f t="shared" si="5"/>
        <v>45293</v>
      </c>
      <c r="K5" s="130">
        <v>12.824999999999999</v>
      </c>
      <c r="L5" s="137">
        <f t="shared" si="6"/>
        <v>-2.000000000000135E-2</v>
      </c>
      <c r="M5" s="137">
        <f t="shared" si="1"/>
        <v>85383.5</v>
      </c>
      <c r="N5" s="127">
        <v>13.65</v>
      </c>
      <c r="O5" s="140">
        <f t="shared" si="13"/>
        <v>17.410000000003492</v>
      </c>
      <c r="P5" s="137">
        <f t="shared" si="7"/>
        <v>85383.5</v>
      </c>
      <c r="Q5" s="137">
        <f t="shared" si="14"/>
        <v>7.1188508201092127E-2</v>
      </c>
      <c r="R5" s="139">
        <f t="shared" si="15"/>
        <v>1.0033146332928404</v>
      </c>
      <c r="S5" s="162">
        <f t="shared" si="2"/>
        <v>6.670000000000087E-2</v>
      </c>
      <c r="T5" s="157">
        <f t="shared" si="8"/>
        <v>-1.9999999999988916E-3</v>
      </c>
      <c r="U5" s="137">
        <f t="shared" si="3"/>
        <v>85317.440000000002</v>
      </c>
      <c r="V5" s="137">
        <f t="shared" si="9"/>
        <v>85300.03</v>
      </c>
      <c r="W5" s="137">
        <f t="shared" si="16"/>
        <v>5.3310918897264692E-2</v>
      </c>
      <c r="X5" s="139">
        <f t="shared" si="17"/>
        <v>1.0014984374932598</v>
      </c>
      <c r="AA5" s="128">
        <v>12.8917</v>
      </c>
      <c r="AB5" s="130">
        <v>12.824999999999999</v>
      </c>
      <c r="AC5" s="127">
        <v>13.65</v>
      </c>
    </row>
    <row r="6" spans="1:29" x14ac:dyDescent="0.3">
      <c r="A6" s="134">
        <v>44810</v>
      </c>
      <c r="B6" s="134">
        <v>45292</v>
      </c>
      <c r="C6" s="135">
        <f>NETWORKDAYS(A6,B6-1,Feriados!$A$2:$A$2000)</f>
        <v>329</v>
      </c>
      <c r="D6" s="128">
        <v>13.1671</v>
      </c>
      <c r="E6" s="137">
        <f t="shared" si="4"/>
        <v>0.27539999999999942</v>
      </c>
      <c r="F6" s="138">
        <f t="shared" si="0"/>
        <v>850.87411399999996</v>
      </c>
      <c r="G6" s="137">
        <f t="shared" si="10"/>
        <v>85087.41</v>
      </c>
      <c r="H6" s="137">
        <f t="shared" si="11"/>
        <v>-0.26961662234591399</v>
      </c>
      <c r="I6" s="139">
        <f t="shared" si="12"/>
        <v>1.000585034912767</v>
      </c>
      <c r="J6" s="134">
        <f t="shared" si="5"/>
        <v>45293</v>
      </c>
      <c r="K6" s="130">
        <v>13.1</v>
      </c>
      <c r="L6" s="137">
        <f t="shared" si="6"/>
        <v>0.27500000000000036</v>
      </c>
      <c r="M6" s="137">
        <f t="shared" si="1"/>
        <v>85153.32</v>
      </c>
      <c r="N6" s="127">
        <v>13.65</v>
      </c>
      <c r="O6" s="140">
        <f t="shared" si="13"/>
        <v>-273.5399999999936</v>
      </c>
      <c r="P6" s="137">
        <f t="shared" si="7"/>
        <v>85153.32</v>
      </c>
      <c r="Q6" s="137">
        <f t="shared" si="14"/>
        <v>-0.26958370176907165</v>
      </c>
      <c r="R6" s="139">
        <f t="shared" si="15"/>
        <v>1.0006098605640188</v>
      </c>
      <c r="S6" s="162">
        <f t="shared" si="2"/>
        <v>6.7099999999999937E-2</v>
      </c>
      <c r="T6" s="157">
        <f t="shared" si="8"/>
        <v>3.9999999999906777E-4</v>
      </c>
      <c r="U6" s="137">
        <f t="shared" si="3"/>
        <v>85087.41</v>
      </c>
      <c r="V6" s="137">
        <f t="shared" si="9"/>
        <v>85360.95</v>
      </c>
      <c r="W6" s="137">
        <f t="shared" si="16"/>
        <v>5.099777958643692E-2</v>
      </c>
      <c r="X6" s="139">
        <f t="shared" si="17"/>
        <v>1.0020091794589743</v>
      </c>
      <c r="AA6" s="128">
        <v>13.1671</v>
      </c>
      <c r="AB6" s="130">
        <v>13.1</v>
      </c>
      <c r="AC6" s="127">
        <v>13.65</v>
      </c>
    </row>
    <row r="7" spans="1:29" x14ac:dyDescent="0.3">
      <c r="A7" s="134">
        <v>44812</v>
      </c>
      <c r="B7" s="134">
        <v>45292</v>
      </c>
      <c r="C7" s="135">
        <f>NETWORKDAYS(A7,B7-1,Feriados!$A$2:$A$2000)</f>
        <v>328</v>
      </c>
      <c r="D7" s="128">
        <v>13.0905</v>
      </c>
      <c r="E7" s="137">
        <f t="shared" si="4"/>
        <v>-7.6599999999999113E-2</v>
      </c>
      <c r="F7" s="138">
        <f t="shared" si="0"/>
        <v>852.04245500000002</v>
      </c>
      <c r="G7" s="137">
        <f t="shared" si="10"/>
        <v>85204.25</v>
      </c>
      <c r="H7" s="137">
        <f t="shared" si="11"/>
        <v>0.13731761255866282</v>
      </c>
      <c r="I7" s="139">
        <f t="shared" si="12"/>
        <v>1.0019590143943284</v>
      </c>
      <c r="J7" s="134">
        <f t="shared" si="5"/>
        <v>45293</v>
      </c>
      <c r="K7" s="130">
        <v>13.025</v>
      </c>
      <c r="L7" s="137">
        <f t="shared" si="6"/>
        <v>-7.4999999999999289E-2</v>
      </c>
      <c r="M7" s="137">
        <f t="shared" si="1"/>
        <v>85268.52</v>
      </c>
      <c r="N7" s="127">
        <v>13.65</v>
      </c>
      <c r="O7" s="140">
        <f t="shared" si="13"/>
        <v>71.94999999999709</v>
      </c>
      <c r="P7" s="137">
        <f t="shared" si="7"/>
        <v>85268.52</v>
      </c>
      <c r="Q7" s="137">
        <f t="shared" si="14"/>
        <v>0.13528538875524632</v>
      </c>
      <c r="R7" s="139">
        <f t="shared" si="15"/>
        <v>1.0019635395038062</v>
      </c>
      <c r="S7" s="162">
        <f t="shared" si="2"/>
        <v>6.5500000000000114E-2</v>
      </c>
      <c r="T7" s="157">
        <f t="shared" si="8"/>
        <v>-1.5999999999998238E-3</v>
      </c>
      <c r="U7" s="137">
        <f t="shared" si="3"/>
        <v>85204.25</v>
      </c>
      <c r="V7" s="137">
        <f t="shared" si="9"/>
        <v>85132.3</v>
      </c>
      <c r="W7" s="137">
        <f t="shared" si="16"/>
        <v>5.2757511363910048E-2</v>
      </c>
      <c r="X7" s="139">
        <f t="shared" si="17"/>
        <v>1.0025378145656947</v>
      </c>
      <c r="AA7" s="128">
        <v>13.0905</v>
      </c>
      <c r="AB7" s="130">
        <v>13.025</v>
      </c>
      <c r="AC7" s="127">
        <v>13.65</v>
      </c>
    </row>
    <row r="8" spans="1:29" x14ac:dyDescent="0.3">
      <c r="A8" s="134">
        <v>44813</v>
      </c>
      <c r="B8" s="134">
        <v>45292</v>
      </c>
      <c r="C8" s="135">
        <f>NETWORKDAYS(A8,B8-1,Feriados!$A$2:$A$2000)</f>
        <v>327</v>
      </c>
      <c r="D8" s="128">
        <v>12.9826</v>
      </c>
      <c r="E8" s="137">
        <f t="shared" si="4"/>
        <v>-0.10790000000000077</v>
      </c>
      <c r="F8" s="138">
        <f t="shared" si="0"/>
        <v>853.51505099999997</v>
      </c>
      <c r="G8" s="137">
        <f t="shared" si="10"/>
        <v>85351.51</v>
      </c>
      <c r="H8" s="137">
        <f t="shared" si="11"/>
        <v>0.17283175428455255</v>
      </c>
      <c r="I8" s="139">
        <f t="shared" si="12"/>
        <v>1.0036907177361183</v>
      </c>
      <c r="J8" s="134">
        <f t="shared" si="5"/>
        <v>45293</v>
      </c>
      <c r="K8" s="130">
        <v>12.92</v>
      </c>
      <c r="L8" s="137">
        <f t="shared" si="6"/>
        <v>-0.10500000000000043</v>
      </c>
      <c r="M8" s="137">
        <f t="shared" si="1"/>
        <v>85412.91</v>
      </c>
      <c r="N8" s="127">
        <v>13.65</v>
      </c>
      <c r="O8" s="140">
        <f t="shared" si="13"/>
        <v>101.08000000000175</v>
      </c>
      <c r="P8" s="137">
        <f t="shared" si="7"/>
        <v>85412.91</v>
      </c>
      <c r="Q8" s="137">
        <f t="shared" si="14"/>
        <v>0.1693356469656182</v>
      </c>
      <c r="R8" s="139">
        <f t="shared" si="15"/>
        <v>1.0036602209457846</v>
      </c>
      <c r="S8" s="162">
        <f t="shared" si="2"/>
        <v>6.2599999999999767E-2</v>
      </c>
      <c r="T8" s="157">
        <f t="shared" si="8"/>
        <v>-2.9000000000003467E-3</v>
      </c>
      <c r="U8" s="137">
        <f t="shared" si="3"/>
        <v>85351.51</v>
      </c>
      <c r="V8" s="137">
        <f t="shared" si="9"/>
        <v>85250.43</v>
      </c>
      <c r="W8" s="137">
        <f t="shared" si="16"/>
        <v>5.4199174336955203E-2</v>
      </c>
      <c r="X8" s="139">
        <f t="shared" si="17"/>
        <v>1.0030811817836049</v>
      </c>
      <c r="AA8" s="128">
        <v>12.9826</v>
      </c>
      <c r="AB8" s="130">
        <v>12.92</v>
      </c>
      <c r="AC8" s="127">
        <v>13.65</v>
      </c>
    </row>
    <row r="9" spans="1:29" x14ac:dyDescent="0.3">
      <c r="A9" s="134">
        <v>44816</v>
      </c>
      <c r="B9" s="134">
        <v>45292</v>
      </c>
      <c r="C9" s="135">
        <f>NETWORKDAYS(A9,B9-1,Feriados!$A$2:$A$2000)</f>
        <v>326</v>
      </c>
      <c r="D9" s="128">
        <v>13.0487</v>
      </c>
      <c r="E9" s="137">
        <f t="shared" si="4"/>
        <v>6.6100000000000492E-2</v>
      </c>
      <c r="F9" s="138">
        <f t="shared" si="0"/>
        <v>853.28271800000005</v>
      </c>
      <c r="G9" s="137">
        <f t="shared" si="10"/>
        <v>85328.27</v>
      </c>
      <c r="H9" s="137">
        <f t="shared" si="11"/>
        <v>-2.7228575100768371E-2</v>
      </c>
      <c r="I9" s="139">
        <f t="shared" si="12"/>
        <v>1.00341742705526</v>
      </c>
      <c r="J9" s="134">
        <f t="shared" si="5"/>
        <v>45293</v>
      </c>
      <c r="K9" s="130">
        <v>12.994999999999999</v>
      </c>
      <c r="L9" s="137">
        <f t="shared" si="6"/>
        <v>7.4999999999999289E-2</v>
      </c>
      <c r="M9" s="137">
        <f t="shared" si="1"/>
        <v>85380.74</v>
      </c>
      <c r="N9" s="127">
        <v>13.65</v>
      </c>
      <c r="O9" s="140">
        <f t="shared" si="13"/>
        <v>-75.549999999988358</v>
      </c>
      <c r="P9" s="137">
        <f t="shared" si="7"/>
        <v>85380.74</v>
      </c>
      <c r="Q9" s="137">
        <f t="shared" si="14"/>
        <v>-3.7664095509681861E-2</v>
      </c>
      <c r="R9" s="139">
        <f t="shared" si="15"/>
        <v>1.0032822014015748</v>
      </c>
      <c r="S9" s="162">
        <f t="shared" si="2"/>
        <v>5.3700000000000969E-2</v>
      </c>
      <c r="T9" s="157">
        <f t="shared" si="8"/>
        <v>-8.8999999999987978E-3</v>
      </c>
      <c r="U9" s="137">
        <f t="shared" si="3"/>
        <v>85328.27</v>
      </c>
      <c r="V9" s="137">
        <f t="shared" si="9"/>
        <v>85403.819999999992</v>
      </c>
      <c r="W9" s="137">
        <f t="shared" si="16"/>
        <v>6.1287726485437233E-2</v>
      </c>
      <c r="X9" s="139">
        <f t="shared" si="17"/>
        <v>1.0036959474347233</v>
      </c>
      <c r="AA9" s="128">
        <v>13.0487</v>
      </c>
      <c r="AB9" s="130">
        <v>12.994999999999999</v>
      </c>
      <c r="AC9" s="127">
        <v>13.65</v>
      </c>
    </row>
    <row r="10" spans="1:29" x14ac:dyDescent="0.3">
      <c r="A10" s="134">
        <v>44817</v>
      </c>
      <c r="B10" s="134">
        <v>45292</v>
      </c>
      <c r="C10" s="135">
        <f>NETWORKDAYS(A10,B10-1,Feriados!$A$2:$A$2000)</f>
        <v>325</v>
      </c>
      <c r="D10" s="128">
        <v>13.2004</v>
      </c>
      <c r="E10" s="137">
        <f t="shared" si="4"/>
        <v>0.15169999999999995</v>
      </c>
      <c r="F10" s="138">
        <f t="shared" si="0"/>
        <v>852.22294699999998</v>
      </c>
      <c r="G10" s="137">
        <f t="shared" si="10"/>
        <v>85222.29</v>
      </c>
      <c r="H10" s="137">
        <f t="shared" si="11"/>
        <v>-0.12420268218259478</v>
      </c>
      <c r="I10" s="139">
        <f t="shared" si="12"/>
        <v>1.0021711556973698</v>
      </c>
      <c r="J10" s="134">
        <f t="shared" si="5"/>
        <v>45293</v>
      </c>
      <c r="K10" s="130">
        <v>13.145</v>
      </c>
      <c r="L10" s="137">
        <f t="shared" si="6"/>
        <v>0.15000000000000036</v>
      </c>
      <c r="M10" s="137">
        <f t="shared" si="1"/>
        <v>85276.11</v>
      </c>
      <c r="N10" s="127">
        <v>13.65</v>
      </c>
      <c r="O10" s="140">
        <f t="shared" si="13"/>
        <v>-147.99000000000524</v>
      </c>
      <c r="P10" s="137">
        <f t="shared" si="7"/>
        <v>85276.11</v>
      </c>
      <c r="Q10" s="137">
        <f t="shared" si="14"/>
        <v>-0.12254520164618476</v>
      </c>
      <c r="R10" s="139">
        <f t="shared" si="15"/>
        <v>1.002052727204787</v>
      </c>
      <c r="S10" s="162">
        <f t="shared" si="2"/>
        <v>5.540000000000056E-2</v>
      </c>
      <c r="T10" s="157">
        <f t="shared" si="8"/>
        <v>1.6999999999995907E-3</v>
      </c>
      <c r="U10" s="137">
        <f t="shared" si="3"/>
        <v>85222.29</v>
      </c>
      <c r="V10" s="137">
        <f t="shared" si="9"/>
        <v>85370.28</v>
      </c>
      <c r="W10" s="137">
        <f t="shared" si="16"/>
        <v>4.9233390059355564E-2</v>
      </c>
      <c r="X10" s="139">
        <f t="shared" si="17"/>
        <v>1.0041901009755339</v>
      </c>
      <c r="AA10" s="128">
        <v>13.2004</v>
      </c>
      <c r="AB10" s="130">
        <v>13.145</v>
      </c>
      <c r="AC10" s="127">
        <v>13.65</v>
      </c>
    </row>
    <row r="11" spans="1:29" x14ac:dyDescent="0.3">
      <c r="A11" s="134">
        <v>44818</v>
      </c>
      <c r="B11" s="134">
        <v>45292</v>
      </c>
      <c r="C11" s="135">
        <f>NETWORKDAYS(A11,B11-1,Feriados!$A$2:$A$2000)</f>
        <v>324</v>
      </c>
      <c r="D11" s="128">
        <v>13.173400000000001</v>
      </c>
      <c r="E11" s="137">
        <f t="shared" si="4"/>
        <v>-2.6999999999999247E-2</v>
      </c>
      <c r="F11" s="138">
        <f t="shared" si="0"/>
        <v>852.903907</v>
      </c>
      <c r="G11" s="137">
        <f t="shared" si="10"/>
        <v>85290.39</v>
      </c>
      <c r="H11" s="137">
        <f t="shared" si="11"/>
        <v>7.9908671780604124E-2</v>
      </c>
      <c r="I11" s="139">
        <f t="shared" si="12"/>
        <v>1.0029719773568559</v>
      </c>
      <c r="J11" s="134">
        <f t="shared" si="5"/>
        <v>45293</v>
      </c>
      <c r="K11" s="130">
        <v>13.12</v>
      </c>
      <c r="L11" s="137">
        <f t="shared" si="6"/>
        <v>-2.5000000000000355E-2</v>
      </c>
      <c r="M11" s="137">
        <f t="shared" si="1"/>
        <v>85342.16</v>
      </c>
      <c r="N11" s="127">
        <v>13.65</v>
      </c>
      <c r="O11" s="140">
        <f t="shared" si="13"/>
        <v>22.740000000005239</v>
      </c>
      <c r="P11" s="137">
        <f t="shared" si="7"/>
        <v>85342.16</v>
      </c>
      <c r="Q11" s="137">
        <f t="shared" si="14"/>
        <v>7.7454283503319843E-2</v>
      </c>
      <c r="R11" s="139">
        <f t="shared" si="15"/>
        <v>1.0028288599649688</v>
      </c>
      <c r="S11" s="162">
        <f t="shared" si="2"/>
        <v>5.3400000000001668E-2</v>
      </c>
      <c r="T11" s="157">
        <f t="shared" si="8"/>
        <v>-1.9999999999988916E-3</v>
      </c>
      <c r="U11" s="137">
        <f t="shared" si="3"/>
        <v>85290.39</v>
      </c>
      <c r="V11" s="137">
        <f t="shared" si="9"/>
        <v>85267.65</v>
      </c>
      <c r="W11" s="137">
        <f t="shared" si="16"/>
        <v>5.3225511776311407E-2</v>
      </c>
      <c r="X11" s="139">
        <f t="shared" si="17"/>
        <v>1.004724586295985</v>
      </c>
      <c r="AA11" s="128">
        <v>13.173400000000001</v>
      </c>
      <c r="AB11" s="130">
        <v>13.12</v>
      </c>
      <c r="AC11" s="127">
        <v>13.65</v>
      </c>
    </row>
    <row r="12" spans="1:29" x14ac:dyDescent="0.3">
      <c r="A12" s="134">
        <v>44819</v>
      </c>
      <c r="B12" s="134">
        <v>45292</v>
      </c>
      <c r="C12" s="135">
        <f>NETWORKDAYS(A12,B12-1,Feriados!$A$2:$A$2000)</f>
        <v>323</v>
      </c>
      <c r="D12" s="128">
        <v>13.278</v>
      </c>
      <c r="E12" s="137">
        <f t="shared" si="4"/>
        <v>0.10459999999999958</v>
      </c>
      <c r="F12" s="138">
        <f t="shared" si="0"/>
        <v>852.31302800000003</v>
      </c>
      <c r="G12" s="137">
        <f t="shared" si="10"/>
        <v>85231.3</v>
      </c>
      <c r="H12" s="137">
        <f t="shared" si="11"/>
        <v>-6.9280958851281049E-2</v>
      </c>
      <c r="I12" s="139">
        <f t="shared" si="12"/>
        <v>1.0022771087539335</v>
      </c>
      <c r="J12" s="134">
        <f t="shared" si="5"/>
        <v>45293</v>
      </c>
      <c r="K12" s="130">
        <v>13.225</v>
      </c>
      <c r="L12" s="137">
        <f t="shared" si="6"/>
        <v>0.10500000000000043</v>
      </c>
      <c r="M12" s="137">
        <f t="shared" si="1"/>
        <v>85282.44</v>
      </c>
      <c r="N12" s="127">
        <v>13.65</v>
      </c>
      <c r="O12" s="140">
        <f t="shared" si="13"/>
        <v>-103.05999999999767</v>
      </c>
      <c r="P12" s="137">
        <f t="shared" si="7"/>
        <v>85282.44</v>
      </c>
      <c r="Q12" s="137">
        <f t="shared" si="14"/>
        <v>-6.9977136739918233E-2</v>
      </c>
      <c r="R12" s="139">
        <f t="shared" si="15"/>
        <v>1.0021271090423638</v>
      </c>
      <c r="S12" s="162">
        <f t="shared" si="2"/>
        <v>5.3000000000000824E-2</v>
      </c>
      <c r="T12" s="157">
        <f t="shared" si="8"/>
        <v>-4.0000000000084412E-4</v>
      </c>
      <c r="U12" s="137">
        <f t="shared" si="3"/>
        <v>85231.3</v>
      </c>
      <c r="V12" s="137">
        <f t="shared" si="9"/>
        <v>85334.36</v>
      </c>
      <c r="W12" s="137">
        <f t="shared" si="16"/>
        <v>5.1553287539185533E-2</v>
      </c>
      <c r="X12" s="139">
        <f t="shared" si="17"/>
        <v>1.0052425548509352</v>
      </c>
      <c r="AA12" s="128">
        <v>13.278</v>
      </c>
      <c r="AB12" s="130">
        <v>13.225</v>
      </c>
      <c r="AC12" s="127">
        <v>13.65</v>
      </c>
    </row>
    <row r="13" spans="1:29" x14ac:dyDescent="0.3">
      <c r="A13" s="134">
        <v>44820</v>
      </c>
      <c r="B13" s="134">
        <v>45292</v>
      </c>
      <c r="C13" s="135">
        <f>NETWORKDAYS(A13,B13-1,Feriados!$A$2:$A$2000)</f>
        <v>322</v>
      </c>
      <c r="D13" s="128">
        <v>13.282999999999999</v>
      </c>
      <c r="E13" s="137">
        <f t="shared" si="4"/>
        <v>4.9999999999990052E-3</v>
      </c>
      <c r="F13" s="138">
        <f t="shared" si="0"/>
        <v>852.68671500000005</v>
      </c>
      <c r="G13" s="137">
        <f t="shared" si="10"/>
        <v>85268.67</v>
      </c>
      <c r="H13" s="137">
        <f t="shared" si="11"/>
        <v>4.3845394825603456E-2</v>
      </c>
      <c r="I13" s="139">
        <f t="shared" si="12"/>
        <v>1.0027165611095132</v>
      </c>
      <c r="J13" s="134">
        <f t="shared" si="5"/>
        <v>45293</v>
      </c>
      <c r="K13" s="130">
        <v>13.23</v>
      </c>
      <c r="L13" s="137">
        <f t="shared" si="6"/>
        <v>5.0000000000007816E-3</v>
      </c>
      <c r="M13" s="137">
        <f t="shared" si="1"/>
        <v>85319.67</v>
      </c>
      <c r="N13" s="127">
        <v>13.65</v>
      </c>
      <c r="O13" s="140">
        <f t="shared" si="13"/>
        <v>-6.0800000000017462</v>
      </c>
      <c r="P13" s="137">
        <f t="shared" si="7"/>
        <v>85319.67</v>
      </c>
      <c r="Q13" s="137">
        <f t="shared" si="14"/>
        <v>4.3654942330451085E-2</v>
      </c>
      <c r="R13" s="139">
        <f t="shared" si="15"/>
        <v>1.002564587053894</v>
      </c>
      <c r="S13" s="162">
        <f t="shared" si="2"/>
        <v>5.2999999999999048E-2</v>
      </c>
      <c r="T13" s="157">
        <f t="shared" si="8"/>
        <v>-1.7763568394002505E-15</v>
      </c>
      <c r="U13" s="137">
        <f t="shared" si="3"/>
        <v>85268.67</v>
      </c>
      <c r="V13" s="137">
        <f t="shared" si="9"/>
        <v>85274.75</v>
      </c>
      <c r="W13" s="137">
        <f t="shared" si="16"/>
        <v>5.0978924409217363E-2</v>
      </c>
      <c r="X13" s="139">
        <f t="shared" si="17"/>
        <v>1.005755016693102</v>
      </c>
      <c r="AA13" s="128">
        <v>13.282999999999999</v>
      </c>
      <c r="AB13" s="130">
        <v>13.23</v>
      </c>
      <c r="AC13" s="127">
        <v>13.65</v>
      </c>
    </row>
    <row r="14" spans="1:29" x14ac:dyDescent="0.3">
      <c r="A14" s="134">
        <v>44823</v>
      </c>
      <c r="B14" s="134">
        <v>45292</v>
      </c>
      <c r="C14" s="135">
        <f>NETWORKDAYS(A14,B14-1,Feriados!$A$2:$A$2000)</f>
        <v>321</v>
      </c>
      <c r="D14" s="128">
        <v>13.285299999999999</v>
      </c>
      <c r="E14" s="137">
        <f t="shared" si="4"/>
        <v>2.2999999999999687E-3</v>
      </c>
      <c r="F14" s="138">
        <f t="shared" si="0"/>
        <v>853.08676500000001</v>
      </c>
      <c r="G14" s="137">
        <f t="shared" si="10"/>
        <v>85308.68</v>
      </c>
      <c r="H14" s="137">
        <f t="shared" si="11"/>
        <v>4.6922275203775676E-2</v>
      </c>
      <c r="I14" s="139">
        <f t="shared" si="12"/>
        <v>1.0031870585338309</v>
      </c>
      <c r="J14" s="134">
        <f t="shared" si="5"/>
        <v>45293</v>
      </c>
      <c r="K14" s="130">
        <v>13.23</v>
      </c>
      <c r="L14" s="137">
        <f t="shared" si="6"/>
        <v>0</v>
      </c>
      <c r="M14" s="137">
        <f t="shared" si="1"/>
        <v>85361.75</v>
      </c>
      <c r="N14" s="127">
        <v>13.65</v>
      </c>
      <c r="O14" s="140">
        <f t="shared" si="13"/>
        <v>-1.25</v>
      </c>
      <c r="P14" s="137">
        <f t="shared" si="7"/>
        <v>85361.75</v>
      </c>
      <c r="Q14" s="137">
        <f t="shared" si="14"/>
        <v>4.9320397043262076E-2</v>
      </c>
      <c r="R14" s="139">
        <f t="shared" si="15"/>
        <v>1.0030590558888441</v>
      </c>
      <c r="S14" s="162">
        <f t="shared" si="2"/>
        <v>5.5299999999999017E-2</v>
      </c>
      <c r="T14" s="157">
        <f t="shared" si="8"/>
        <v>2.2999999999999687E-3</v>
      </c>
      <c r="U14" s="137">
        <f t="shared" si="3"/>
        <v>85308.68</v>
      </c>
      <c r="V14" s="137">
        <f t="shared" si="9"/>
        <v>85309.93</v>
      </c>
      <c r="W14" s="137">
        <f t="shared" si="16"/>
        <v>4.8388229815232719E-2</v>
      </c>
      <c r="X14" s="139">
        <f t="shared" si="17"/>
        <v>1.0062416837419577</v>
      </c>
      <c r="AA14" s="128">
        <v>13.285299999999999</v>
      </c>
      <c r="AB14" s="130">
        <v>13.23</v>
      </c>
      <c r="AC14" s="127">
        <v>13.65</v>
      </c>
    </row>
    <row r="15" spans="1:29" x14ac:dyDescent="0.3">
      <c r="A15" s="134">
        <v>44824</v>
      </c>
      <c r="B15" s="134">
        <v>45292</v>
      </c>
      <c r="C15" s="135">
        <f>NETWORKDAYS(A15,B15-1,Feriados!$A$2:$A$2000)</f>
        <v>320</v>
      </c>
      <c r="D15" s="128">
        <v>13.297000000000001</v>
      </c>
      <c r="E15" s="137">
        <f t="shared" si="4"/>
        <v>1.1700000000001154E-2</v>
      </c>
      <c r="F15" s="138">
        <f t="shared" si="0"/>
        <v>853.39722200000006</v>
      </c>
      <c r="G15" s="137">
        <f t="shared" si="10"/>
        <v>85339.72</v>
      </c>
      <c r="H15" s="137">
        <f t="shared" si="11"/>
        <v>3.6385512001846365E-2</v>
      </c>
      <c r="I15" s="139">
        <f t="shared" si="12"/>
        <v>1.0035520732814147</v>
      </c>
      <c r="J15" s="134">
        <f t="shared" si="5"/>
        <v>45293</v>
      </c>
      <c r="K15" s="130">
        <v>13.24</v>
      </c>
      <c r="L15" s="137">
        <f t="shared" si="6"/>
        <v>9.9999999999997868E-3</v>
      </c>
      <c r="M15" s="137">
        <f t="shared" si="1"/>
        <v>85394.27</v>
      </c>
      <c r="N15" s="127">
        <v>13.65</v>
      </c>
      <c r="O15" s="140">
        <f t="shared" si="13"/>
        <v>-10.830000000001746</v>
      </c>
      <c r="P15" s="137">
        <f t="shared" si="7"/>
        <v>85394.27</v>
      </c>
      <c r="Q15" s="137">
        <f t="shared" si="14"/>
        <v>3.8096688505095955E-2</v>
      </c>
      <c r="R15" s="139">
        <f t="shared" si="15"/>
        <v>1.0034411881728882</v>
      </c>
      <c r="S15" s="162">
        <f t="shared" si="2"/>
        <v>5.7000000000000384E-2</v>
      </c>
      <c r="T15" s="157">
        <f t="shared" si="8"/>
        <v>1.7000000000013671E-3</v>
      </c>
      <c r="U15" s="137">
        <f t="shared" si="3"/>
        <v>85339.72</v>
      </c>
      <c r="V15" s="137">
        <f t="shared" si="9"/>
        <v>85350.55</v>
      </c>
      <c r="W15" s="137">
        <f t="shared" si="16"/>
        <v>4.9080585938043875E-2</v>
      </c>
      <c r="X15" s="139">
        <f t="shared" si="17"/>
        <v>1.0067355530562911</v>
      </c>
      <c r="AA15" s="128">
        <v>13.297000000000001</v>
      </c>
      <c r="AB15" s="130">
        <v>13.24</v>
      </c>
      <c r="AC15" s="127">
        <v>13.65</v>
      </c>
    </row>
    <row r="16" spans="1:29" x14ac:dyDescent="0.3">
      <c r="A16" s="134">
        <v>44825</v>
      </c>
      <c r="B16" s="134">
        <v>45292</v>
      </c>
      <c r="C16" s="135">
        <f>NETWORKDAYS(A16,B16-1,Feriados!$A$2:$A$2000)</f>
        <v>319</v>
      </c>
      <c r="D16" s="128">
        <v>13.136799999999999</v>
      </c>
      <c r="E16" s="137">
        <f t="shared" si="4"/>
        <v>-0.16020000000000145</v>
      </c>
      <c r="F16" s="138">
        <f t="shared" si="0"/>
        <v>855.35082899999998</v>
      </c>
      <c r="G16" s="137">
        <f t="shared" si="10"/>
        <v>85535.08</v>
      </c>
      <c r="H16" s="137">
        <f t="shared" si="11"/>
        <v>0.22892036674129201</v>
      </c>
      <c r="I16" s="139">
        <f t="shared" si="12"/>
        <v>1.0058494083680103</v>
      </c>
      <c r="J16" s="134">
        <f t="shared" si="5"/>
        <v>45293</v>
      </c>
      <c r="K16" s="130">
        <v>13.085000000000001</v>
      </c>
      <c r="L16" s="137">
        <f t="shared" si="6"/>
        <v>-0.15499999999999936</v>
      </c>
      <c r="M16" s="137">
        <f t="shared" si="1"/>
        <v>85584.68</v>
      </c>
      <c r="N16" s="127">
        <v>13.65</v>
      </c>
      <c r="O16" s="140">
        <f t="shared" si="13"/>
        <v>147.0399999999936</v>
      </c>
      <c r="P16" s="137">
        <f t="shared" si="7"/>
        <v>85584.68</v>
      </c>
      <c r="Q16" s="137">
        <f t="shared" si="14"/>
        <v>0.22297749017585744</v>
      </c>
      <c r="R16" s="139">
        <f t="shared" si="15"/>
        <v>1.0056786361496668</v>
      </c>
      <c r="S16" s="162">
        <f t="shared" si="2"/>
        <v>5.1799999999998292E-2</v>
      </c>
      <c r="T16" s="157">
        <f t="shared" si="8"/>
        <v>-5.2000000000020918E-3</v>
      </c>
      <c r="U16" s="137">
        <f t="shared" si="3"/>
        <v>85535.08</v>
      </c>
      <c r="V16" s="137">
        <f t="shared" si="9"/>
        <v>85388.040000000008</v>
      </c>
      <c r="W16" s="137">
        <f t="shared" si="16"/>
        <v>5.6620762289827375E-2</v>
      </c>
      <c r="X16" s="139">
        <f t="shared" si="17"/>
        <v>1.0073055744006743</v>
      </c>
      <c r="AA16" s="128">
        <v>13.136799999999999</v>
      </c>
      <c r="AB16" s="130">
        <v>13.085000000000001</v>
      </c>
      <c r="AC16" s="127">
        <v>13.65</v>
      </c>
    </row>
    <row r="17" spans="1:29" x14ac:dyDescent="0.3">
      <c r="A17" s="134">
        <v>44826</v>
      </c>
      <c r="B17" s="134">
        <v>45292</v>
      </c>
      <c r="C17" s="135">
        <f>NETWORKDAYS(A17,B17-1,Feriados!$A$2:$A$2000)</f>
        <v>318</v>
      </c>
      <c r="D17" s="128">
        <v>12.835699999999999</v>
      </c>
      <c r="E17" s="137">
        <f t="shared" si="4"/>
        <v>-0.30109999999999992</v>
      </c>
      <c r="F17" s="138">
        <f t="shared" si="0"/>
        <v>858.65257599999995</v>
      </c>
      <c r="G17" s="137">
        <f t="shared" si="10"/>
        <v>85865.26</v>
      </c>
      <c r="H17" s="137">
        <f t="shared" si="11"/>
        <v>0.38601705873191339</v>
      </c>
      <c r="I17" s="139">
        <f t="shared" si="12"/>
        <v>1.0097321586694648</v>
      </c>
      <c r="J17" s="134">
        <f t="shared" si="5"/>
        <v>45293</v>
      </c>
      <c r="K17" s="130">
        <v>12.785</v>
      </c>
      <c r="L17" s="137">
        <f t="shared" si="6"/>
        <v>-0.30000000000000071</v>
      </c>
      <c r="M17" s="137">
        <f t="shared" si="1"/>
        <v>85913.97</v>
      </c>
      <c r="N17" s="127">
        <v>13.65</v>
      </c>
      <c r="O17" s="140">
        <f t="shared" si="13"/>
        <v>285.82000000000698</v>
      </c>
      <c r="P17" s="137">
        <f t="shared" si="7"/>
        <v>85913.97</v>
      </c>
      <c r="Q17" s="137">
        <f t="shared" si="14"/>
        <v>0.384753439517449</v>
      </c>
      <c r="R17" s="139">
        <f t="shared" si="15"/>
        <v>1.0095480192927448</v>
      </c>
      <c r="S17" s="162">
        <f t="shared" si="2"/>
        <v>5.0699999999999079E-2</v>
      </c>
      <c r="T17" s="157">
        <f t="shared" si="8"/>
        <v>-1.0999999999992127E-3</v>
      </c>
      <c r="U17" s="137">
        <f t="shared" si="3"/>
        <v>85865.26</v>
      </c>
      <c r="V17" s="137">
        <f t="shared" si="9"/>
        <v>85579.439999999988</v>
      </c>
      <c r="W17" s="137">
        <f t="shared" si="16"/>
        <v>5.1861762448801585E-2</v>
      </c>
      <c r="X17" s="139">
        <f t="shared" si="17"/>
        <v>1.0078279808248034</v>
      </c>
      <c r="AA17" s="128">
        <v>12.835699999999999</v>
      </c>
      <c r="AB17" s="130">
        <v>12.785</v>
      </c>
      <c r="AC17" s="127">
        <v>13.65</v>
      </c>
    </row>
    <row r="18" spans="1:29" x14ac:dyDescent="0.3">
      <c r="A18" s="134">
        <v>44827</v>
      </c>
      <c r="B18" s="134">
        <v>45292</v>
      </c>
      <c r="C18" s="135">
        <f>NETWORKDAYS(A18,B18-1,Feriados!$A$2:$A$2000)</f>
        <v>317</v>
      </c>
      <c r="D18" s="128">
        <v>12.875299999999999</v>
      </c>
      <c r="E18" s="137">
        <f t="shared" si="4"/>
        <v>3.960000000000008E-2</v>
      </c>
      <c r="F18" s="138">
        <f t="shared" si="0"/>
        <v>858.68504900000005</v>
      </c>
      <c r="G18" s="137">
        <f t="shared" si="10"/>
        <v>85868.5</v>
      </c>
      <c r="H18" s="137">
        <f t="shared" si="11"/>
        <v>3.7733537405104656E-3</v>
      </c>
      <c r="I18" s="139">
        <f t="shared" si="12"/>
        <v>1.009770259435643</v>
      </c>
      <c r="J18" s="134">
        <f t="shared" si="5"/>
        <v>45293</v>
      </c>
      <c r="K18" s="130">
        <v>12.824999999999999</v>
      </c>
      <c r="L18" s="137">
        <f t="shared" si="6"/>
        <v>3.9999999999999147E-2</v>
      </c>
      <c r="M18" s="137">
        <f t="shared" si="1"/>
        <v>85916.66</v>
      </c>
      <c r="N18" s="127">
        <v>13.65</v>
      </c>
      <c r="O18" s="140">
        <f t="shared" si="13"/>
        <v>-40.940000000002328</v>
      </c>
      <c r="P18" s="137">
        <f t="shared" si="7"/>
        <v>85916.66</v>
      </c>
      <c r="Q18" s="137">
        <f t="shared" si="14"/>
        <v>3.1310391080729971E-3</v>
      </c>
      <c r="R18" s="139">
        <f t="shared" si="15"/>
        <v>1.0095796286360437</v>
      </c>
      <c r="S18" s="162">
        <f t="shared" si="2"/>
        <v>5.0300000000000011E-2</v>
      </c>
      <c r="T18" s="157">
        <f t="shared" si="8"/>
        <v>-3.9999999999906777E-4</v>
      </c>
      <c r="U18" s="137">
        <f t="shared" si="3"/>
        <v>85868.5</v>
      </c>
      <c r="V18" s="137">
        <f t="shared" si="9"/>
        <v>85909.440000000002</v>
      </c>
      <c r="W18" s="137">
        <f t="shared" si="16"/>
        <v>5.1452706251642333E-2</v>
      </c>
      <c r="X18" s="139">
        <f t="shared" si="17"/>
        <v>1.008346535595299</v>
      </c>
      <c r="AA18" s="128">
        <v>12.875299999999999</v>
      </c>
      <c r="AB18" s="130">
        <v>12.824999999999999</v>
      </c>
      <c r="AC18" s="127">
        <v>13.65</v>
      </c>
    </row>
    <row r="19" spans="1:29" x14ac:dyDescent="0.3">
      <c r="A19" s="134">
        <v>44830</v>
      </c>
      <c r="B19" s="134">
        <v>45292</v>
      </c>
      <c r="C19" s="135">
        <f>NETWORKDAYS(A19,B19-1,Feriados!$A$2:$A$2000)</f>
        <v>316</v>
      </c>
      <c r="D19" s="128">
        <v>12.995900000000001</v>
      </c>
      <c r="E19" s="137">
        <f t="shared" si="4"/>
        <v>0.12060000000000137</v>
      </c>
      <c r="F19" s="138">
        <f t="shared" si="0"/>
        <v>857.948218</v>
      </c>
      <c r="G19" s="137">
        <f t="shared" si="10"/>
        <v>85794.82</v>
      </c>
      <c r="H19" s="137">
        <f t="shared" si="11"/>
        <v>-8.5805621386181308E-2</v>
      </c>
      <c r="I19" s="139">
        <f t="shared" si="12"/>
        <v>1.0089038197899614</v>
      </c>
      <c r="J19" s="134">
        <f t="shared" si="5"/>
        <v>45293</v>
      </c>
      <c r="K19" s="130">
        <v>12.95</v>
      </c>
      <c r="L19" s="137">
        <f t="shared" si="6"/>
        <v>0.125</v>
      </c>
      <c r="M19" s="137">
        <f t="shared" si="1"/>
        <v>85838.54</v>
      </c>
      <c r="N19" s="127">
        <v>13.65</v>
      </c>
      <c r="O19" s="140">
        <f t="shared" si="13"/>
        <v>-121.76000000000931</v>
      </c>
      <c r="P19" s="137">
        <f t="shared" si="7"/>
        <v>85838.54</v>
      </c>
      <c r="Q19" s="137">
        <f t="shared" si="14"/>
        <v>-9.0925322283252896E-2</v>
      </c>
      <c r="R19" s="139">
        <f t="shared" si="15"/>
        <v>1.0086616651050002</v>
      </c>
      <c r="S19" s="162">
        <f t="shared" si="2"/>
        <v>4.5900000000001384E-2</v>
      </c>
      <c r="T19" s="157">
        <f t="shared" si="8"/>
        <v>-4.3999999999986272E-3</v>
      </c>
      <c r="U19" s="137">
        <f t="shared" si="3"/>
        <v>85794.82</v>
      </c>
      <c r="V19" s="137">
        <f t="shared" si="9"/>
        <v>85916.580000000016</v>
      </c>
      <c r="W19" s="137">
        <f t="shared" si="16"/>
        <v>5.5992593325870921E-2</v>
      </c>
      <c r="X19" s="139">
        <f t="shared" si="17"/>
        <v>1.0089111349702904</v>
      </c>
      <c r="AA19" s="128">
        <v>12.995900000000001</v>
      </c>
      <c r="AB19" s="130">
        <v>12.95</v>
      </c>
      <c r="AC19" s="127">
        <v>13.65</v>
      </c>
    </row>
    <row r="20" spans="1:29" x14ac:dyDescent="0.3">
      <c r="A20" s="134">
        <v>44831</v>
      </c>
      <c r="B20" s="134">
        <v>45292</v>
      </c>
      <c r="C20" s="135">
        <f>NETWORKDAYS(A20,B20-1,Feriados!$A$2:$A$2000)</f>
        <v>315</v>
      </c>
      <c r="D20" s="128">
        <v>12.826499999999999</v>
      </c>
      <c r="E20" s="137">
        <f t="shared" si="4"/>
        <v>-0.16940000000000133</v>
      </c>
      <c r="F20" s="138">
        <f t="shared" si="0"/>
        <v>859.975551</v>
      </c>
      <c r="G20" s="137">
        <f t="shared" si="10"/>
        <v>85997.56</v>
      </c>
      <c r="H20" s="137">
        <f t="shared" si="11"/>
        <v>0.23630797290556949</v>
      </c>
      <c r="I20" s="139">
        <f t="shared" si="12"/>
        <v>1.0112879399550738</v>
      </c>
      <c r="J20" s="134">
        <f t="shared" si="5"/>
        <v>45293</v>
      </c>
      <c r="K20" s="130">
        <v>12.78</v>
      </c>
      <c r="L20" s="137">
        <f t="shared" si="6"/>
        <v>-0.16999999999999993</v>
      </c>
      <c r="M20" s="137">
        <f t="shared" si="1"/>
        <v>86041.88</v>
      </c>
      <c r="N20" s="127">
        <v>13.65</v>
      </c>
      <c r="O20" s="140">
        <f t="shared" si="13"/>
        <v>159.74000000000524</v>
      </c>
      <c r="P20" s="137">
        <f t="shared" si="7"/>
        <v>86041.88</v>
      </c>
      <c r="Q20" s="137">
        <f t="shared" si="14"/>
        <v>0.2368866012865789</v>
      </c>
      <c r="R20" s="139">
        <f t="shared" si="15"/>
        <v>1.011051049441948</v>
      </c>
      <c r="S20" s="162">
        <f t="shared" si="2"/>
        <v>4.6499999999999986E-2</v>
      </c>
      <c r="T20" s="157">
        <f t="shared" si="8"/>
        <v>5.9999999999860165E-4</v>
      </c>
      <c r="U20" s="137">
        <f t="shared" si="3"/>
        <v>85997.56</v>
      </c>
      <c r="V20" s="137">
        <f t="shared" si="9"/>
        <v>85837.819999999992</v>
      </c>
      <c r="W20" s="137">
        <f t="shared" si="16"/>
        <v>5.0119575983709197E-2</v>
      </c>
      <c r="X20" s="139">
        <f t="shared" si="17"/>
        <v>1.00941679695319</v>
      </c>
      <c r="AA20" s="128">
        <v>12.826499999999999</v>
      </c>
      <c r="AB20" s="130">
        <v>12.78</v>
      </c>
      <c r="AC20" s="127">
        <v>13.65</v>
      </c>
    </row>
    <row r="21" spans="1:29" x14ac:dyDescent="0.3">
      <c r="A21" s="134">
        <v>44832</v>
      </c>
      <c r="B21" s="134">
        <v>45292</v>
      </c>
      <c r="C21" s="135">
        <f>NETWORKDAYS(A21,B21-1,Feriados!$A$2:$A$2000)</f>
        <v>314</v>
      </c>
      <c r="D21" s="128">
        <v>12.94</v>
      </c>
      <c r="E21" s="137">
        <f t="shared" si="4"/>
        <v>0.11350000000000016</v>
      </c>
      <c r="F21" s="138">
        <f t="shared" si="0"/>
        <v>859.31023400000004</v>
      </c>
      <c r="G21" s="137">
        <f t="shared" si="10"/>
        <v>85931.02</v>
      </c>
      <c r="H21" s="137">
        <f t="shared" si="11"/>
        <v>-7.7374288293752258E-2</v>
      </c>
      <c r="I21" s="139">
        <f t="shared" si="12"/>
        <v>1.010505463108933</v>
      </c>
      <c r="J21" s="134">
        <f t="shared" si="5"/>
        <v>45293</v>
      </c>
      <c r="K21" s="130">
        <v>12.895</v>
      </c>
      <c r="L21" s="137">
        <f t="shared" si="6"/>
        <v>0.11500000000000021</v>
      </c>
      <c r="M21" s="137">
        <f t="shared" si="1"/>
        <v>85973.7</v>
      </c>
      <c r="N21" s="127">
        <v>13.65</v>
      </c>
      <c r="O21" s="140">
        <f t="shared" si="13"/>
        <v>-111.88000000000466</v>
      </c>
      <c r="P21" s="137">
        <f t="shared" si="7"/>
        <v>85973.7</v>
      </c>
      <c r="Q21" s="137">
        <f t="shared" si="14"/>
        <v>-7.9240481495768122E-2</v>
      </c>
      <c r="R21" s="139">
        <f t="shared" si="15"/>
        <v>1.0102498877222021</v>
      </c>
      <c r="S21" s="162">
        <f t="shared" si="2"/>
        <v>4.4999999999999929E-2</v>
      </c>
      <c r="T21" s="157">
        <f t="shared" si="8"/>
        <v>-1.5000000000000568E-3</v>
      </c>
      <c r="U21" s="137">
        <f t="shared" si="3"/>
        <v>85931.02</v>
      </c>
      <c r="V21" s="137">
        <f t="shared" si="9"/>
        <v>86042.900000000009</v>
      </c>
      <c r="W21" s="137">
        <f t="shared" si="16"/>
        <v>5.272242607814448E-2</v>
      </c>
      <c r="X21" s="139">
        <f t="shared" si="17"/>
        <v>1.0099489859777839</v>
      </c>
      <c r="AA21" s="128">
        <v>12.94</v>
      </c>
      <c r="AB21" s="130">
        <v>12.895</v>
      </c>
      <c r="AC21" s="127">
        <v>13.65</v>
      </c>
    </row>
    <row r="22" spans="1:29" x14ac:dyDescent="0.3">
      <c r="A22" s="134">
        <v>44833</v>
      </c>
      <c r="B22" s="134">
        <v>45292</v>
      </c>
      <c r="C22" s="135">
        <f>NETWORKDAYS(A22,B22-1,Feriados!$A$2:$A$2000)</f>
        <v>313</v>
      </c>
      <c r="D22" s="128">
        <v>12.9109</v>
      </c>
      <c r="E22" s="137">
        <f t="shared" si="4"/>
        <v>-2.9099999999999682E-2</v>
      </c>
      <c r="F22" s="138">
        <f t="shared" si="0"/>
        <v>860.000497</v>
      </c>
      <c r="G22" s="137">
        <f t="shared" si="10"/>
        <v>86000.05</v>
      </c>
      <c r="H22" s="137">
        <f t="shared" si="11"/>
        <v>8.0331875497341443E-2</v>
      </c>
      <c r="I22" s="139">
        <f t="shared" si="12"/>
        <v>1.0113172210994514</v>
      </c>
      <c r="J22" s="134">
        <f t="shared" si="5"/>
        <v>45293</v>
      </c>
      <c r="K22" s="130">
        <v>12.865</v>
      </c>
      <c r="L22" s="137">
        <f t="shared" si="6"/>
        <v>-2.9999999999999361E-2</v>
      </c>
      <c r="M22" s="137">
        <f t="shared" si="1"/>
        <v>86043.49</v>
      </c>
      <c r="N22" s="127">
        <v>13.65</v>
      </c>
      <c r="O22" s="140">
        <f t="shared" si="13"/>
        <v>26.130000000004657</v>
      </c>
      <c r="P22" s="137">
        <f t="shared" si="7"/>
        <v>86043.49</v>
      </c>
      <c r="Q22" s="137">
        <f t="shared" si="14"/>
        <v>8.1175987540382799E-2</v>
      </c>
      <c r="R22" s="139">
        <f t="shared" si="15"/>
        <v>1.0110699680451862</v>
      </c>
      <c r="S22" s="162">
        <f t="shared" si="2"/>
        <v>4.5899999999999608E-2</v>
      </c>
      <c r="T22" s="157">
        <f t="shared" si="8"/>
        <v>8.9999999999967883E-4</v>
      </c>
      <c r="U22" s="137">
        <f t="shared" si="3"/>
        <v>86000.05</v>
      </c>
      <c r="V22" s="137">
        <f t="shared" si="9"/>
        <v>85973.92</v>
      </c>
      <c r="W22" s="137">
        <f t="shared" si="16"/>
        <v>4.9923764433379425E-2</v>
      </c>
      <c r="X22" s="139">
        <f t="shared" si="17"/>
        <v>1.0104531905304408</v>
      </c>
      <c r="AA22" s="128">
        <v>12.9109</v>
      </c>
      <c r="AB22" s="130">
        <v>12.865</v>
      </c>
      <c r="AC22" s="127">
        <v>13.65</v>
      </c>
    </row>
    <row r="23" spans="1:29" x14ac:dyDescent="0.3">
      <c r="A23" s="134">
        <v>44834</v>
      </c>
      <c r="B23" s="134">
        <v>45292</v>
      </c>
      <c r="C23" s="135">
        <f>NETWORKDAYS(A23,B23-1,Feriados!$A$2:$A$2000)</f>
        <v>312</v>
      </c>
      <c r="D23" s="128">
        <v>12.824999999999999</v>
      </c>
      <c r="E23" s="137">
        <f t="shared" si="4"/>
        <v>-8.5900000000000531E-2</v>
      </c>
      <c r="F23" s="138">
        <f t="shared" si="0"/>
        <v>861.22612400000003</v>
      </c>
      <c r="G23" s="137">
        <f t="shared" si="10"/>
        <v>86122.61</v>
      </c>
      <c r="H23" s="137">
        <f t="shared" si="11"/>
        <v>0.14251154505142694</v>
      </c>
      <c r="I23" s="139">
        <f t="shared" si="12"/>
        <v>1.0127584648966115</v>
      </c>
      <c r="J23" s="134">
        <f t="shared" si="5"/>
        <v>45293</v>
      </c>
      <c r="K23" s="130">
        <v>12.78</v>
      </c>
      <c r="L23" s="137">
        <f t="shared" si="6"/>
        <v>-8.5000000000000853E-2</v>
      </c>
      <c r="M23" s="137">
        <f t="shared" si="1"/>
        <v>86165.16</v>
      </c>
      <c r="N23" s="127">
        <v>13.65</v>
      </c>
      <c r="O23" s="140">
        <f t="shared" si="13"/>
        <v>77.970000000001164</v>
      </c>
      <c r="P23" s="137">
        <f t="shared" si="7"/>
        <v>86165.16</v>
      </c>
      <c r="Q23" s="137">
        <f t="shared" si="14"/>
        <v>0.1414052358871043</v>
      </c>
      <c r="R23" s="139">
        <f t="shared" si="15"/>
        <v>1.0124996739184842</v>
      </c>
      <c r="S23" s="162">
        <f t="shared" si="2"/>
        <v>4.4999999999999929E-2</v>
      </c>
      <c r="T23" s="157">
        <f t="shared" si="8"/>
        <v>-8.9999999999967883E-4</v>
      </c>
      <c r="U23" s="137">
        <f t="shared" si="3"/>
        <v>86122.61</v>
      </c>
      <c r="V23" s="137">
        <f t="shared" si="9"/>
        <v>86044.64</v>
      </c>
      <c r="W23" s="137">
        <f t="shared" si="16"/>
        <v>5.1848807064636127E-2</v>
      </c>
      <c r="X23" s="139">
        <f t="shared" si="17"/>
        <v>1.0109770984556774</v>
      </c>
      <c r="AA23" s="128">
        <v>12.824999999999999</v>
      </c>
      <c r="AB23" s="130">
        <v>12.78</v>
      </c>
      <c r="AC23" s="127">
        <v>13.65</v>
      </c>
    </row>
    <row r="24" spans="1:29" x14ac:dyDescent="0.3">
      <c r="A24" s="134">
        <v>44837</v>
      </c>
      <c r="B24" s="134">
        <v>45292</v>
      </c>
      <c r="C24" s="135">
        <f>NETWORKDAYS(A24,B24-1,Feriados!$A$2:$A$2000)</f>
        <v>311</v>
      </c>
      <c r="D24" s="128">
        <v>12.770799999999999</v>
      </c>
      <c r="E24" s="137">
        <f t="shared" si="4"/>
        <v>-5.4199999999999804E-2</v>
      </c>
      <c r="F24" s="138">
        <f t="shared" si="0"/>
        <v>862.14972</v>
      </c>
      <c r="G24" s="137">
        <f t="shared" si="10"/>
        <v>86214.97</v>
      </c>
      <c r="H24" s="137">
        <f t="shared" si="11"/>
        <v>0.10724245352062844</v>
      </c>
      <c r="I24" s="139">
        <f t="shared" si="12"/>
        <v>1.0138445719226044</v>
      </c>
      <c r="J24" s="134">
        <f t="shared" si="5"/>
        <v>45293</v>
      </c>
      <c r="K24" s="130">
        <v>12.725</v>
      </c>
      <c r="L24" s="137">
        <f t="shared" si="6"/>
        <v>-5.4999999999999716E-2</v>
      </c>
      <c r="M24" s="137">
        <f t="shared" si="1"/>
        <v>86258.2</v>
      </c>
      <c r="N24" s="127">
        <v>13.65</v>
      </c>
      <c r="O24" s="140">
        <f t="shared" si="13"/>
        <v>49.279999999998836</v>
      </c>
      <c r="P24" s="137">
        <f t="shared" si="7"/>
        <v>86258.2</v>
      </c>
      <c r="Q24" s="137">
        <f t="shared" si="14"/>
        <v>0.10797867722869281</v>
      </c>
      <c r="R24" s="139">
        <f t="shared" si="15"/>
        <v>1.0135929576733262</v>
      </c>
      <c r="S24" s="162">
        <f t="shared" si="2"/>
        <v>4.5799999999999841E-2</v>
      </c>
      <c r="T24" s="157">
        <f t="shared" si="8"/>
        <v>7.9999999999991189E-4</v>
      </c>
      <c r="U24" s="137">
        <f t="shared" si="3"/>
        <v>86214.97</v>
      </c>
      <c r="V24" s="137">
        <f t="shared" si="9"/>
        <v>86165.69</v>
      </c>
      <c r="W24" s="137">
        <f t="shared" si="16"/>
        <v>5.0021707423875128E-2</v>
      </c>
      <c r="X24" s="139">
        <f t="shared" si="17"/>
        <v>1.0114828064619892</v>
      </c>
      <c r="AA24" s="128">
        <v>12.770799999999999</v>
      </c>
      <c r="AB24" s="130">
        <v>12.725</v>
      </c>
      <c r="AC24" s="127">
        <v>13.65</v>
      </c>
    </row>
    <row r="25" spans="1:29" x14ac:dyDescent="0.3">
      <c r="A25" s="134">
        <v>44838</v>
      </c>
      <c r="B25" s="134">
        <v>45292</v>
      </c>
      <c r="C25" s="135">
        <f>NETWORKDAYS(A25,B25-1,Feriados!$A$2:$A$2000)</f>
        <v>310</v>
      </c>
      <c r="D25" s="128">
        <v>12.78</v>
      </c>
      <c r="E25" s="137">
        <f t="shared" si="4"/>
        <v>9.1999999999998749E-3</v>
      </c>
      <c r="F25" s="138">
        <f t="shared" si="0"/>
        <v>862.47444900000005</v>
      </c>
      <c r="G25" s="137">
        <f t="shared" si="10"/>
        <v>86247.44</v>
      </c>
      <c r="H25" s="137">
        <f t="shared" si="11"/>
        <v>3.7661672909017341E-2</v>
      </c>
      <c r="I25" s="139">
        <f t="shared" si="12"/>
        <v>1.0142264027490877</v>
      </c>
      <c r="J25" s="134">
        <f t="shared" si="5"/>
        <v>45293</v>
      </c>
      <c r="K25" s="130">
        <v>12.734999999999999</v>
      </c>
      <c r="L25" s="137">
        <f t="shared" si="6"/>
        <v>9.9999999999997868E-3</v>
      </c>
      <c r="M25" s="137">
        <f t="shared" si="1"/>
        <v>86289.8</v>
      </c>
      <c r="N25" s="127">
        <v>13.65</v>
      </c>
      <c r="O25" s="140">
        <f t="shared" si="13"/>
        <v>-12.209999999991851</v>
      </c>
      <c r="P25" s="137">
        <f t="shared" si="7"/>
        <v>86289.8</v>
      </c>
      <c r="Q25" s="137">
        <f t="shared" si="14"/>
        <v>3.6634198255947048E-2</v>
      </c>
      <c r="R25" s="139">
        <f t="shared" si="15"/>
        <v>1.0139642793269485</v>
      </c>
      <c r="S25" s="162">
        <f t="shared" si="2"/>
        <v>4.4999999999999929E-2</v>
      </c>
      <c r="T25" s="157">
        <f t="shared" si="8"/>
        <v>-7.9999999999991189E-4</v>
      </c>
      <c r="U25" s="137">
        <f t="shared" si="3"/>
        <v>86247.44</v>
      </c>
      <c r="V25" s="137">
        <f t="shared" si="9"/>
        <v>86259.65</v>
      </c>
      <c r="W25" s="137">
        <f t="shared" si="16"/>
        <v>5.182394658374001E-2</v>
      </c>
      <c r="X25" s="139">
        <f t="shared" si="17"/>
        <v>1.0120069967713137</v>
      </c>
      <c r="AA25" s="128">
        <v>12.78</v>
      </c>
      <c r="AB25" s="130">
        <v>12.734999999999999</v>
      </c>
      <c r="AC25" s="127">
        <v>13.65</v>
      </c>
    </row>
    <row r="26" spans="1:29" x14ac:dyDescent="0.3">
      <c r="A26" s="134">
        <v>44839</v>
      </c>
      <c r="B26" s="134">
        <v>45292</v>
      </c>
      <c r="C26" s="135">
        <f>NETWORKDAYS(A26,B26-1,Feriados!$A$2:$A$2000)</f>
        <v>309</v>
      </c>
      <c r="D26" s="128">
        <v>12.78</v>
      </c>
      <c r="E26" s="137">
        <f t="shared" si="4"/>
        <v>0</v>
      </c>
      <c r="F26" s="138">
        <f t="shared" si="0"/>
        <v>862.88616999999999</v>
      </c>
      <c r="G26" s="137">
        <f t="shared" si="10"/>
        <v>86288.62</v>
      </c>
      <c r="H26" s="137">
        <f t="shared" si="11"/>
        <v>4.774634470310346E-2</v>
      </c>
      <c r="I26" s="139">
        <f t="shared" si="12"/>
        <v>1.0147106587834143</v>
      </c>
      <c r="J26" s="134">
        <f t="shared" si="5"/>
        <v>45293</v>
      </c>
      <c r="K26" s="130">
        <v>12.734999999999999</v>
      </c>
      <c r="L26" s="137">
        <f t="shared" si="6"/>
        <v>0</v>
      </c>
      <c r="M26" s="137">
        <f t="shared" si="1"/>
        <v>86330.85</v>
      </c>
      <c r="N26" s="127">
        <v>13.65</v>
      </c>
      <c r="O26" s="140">
        <f t="shared" si="13"/>
        <v>-2.7699999999895226</v>
      </c>
      <c r="P26" s="137">
        <f t="shared" si="7"/>
        <v>86330.85</v>
      </c>
      <c r="Q26" s="137">
        <f t="shared" si="14"/>
        <v>4.7572250717942133E-2</v>
      </c>
      <c r="R26" s="139">
        <f t="shared" si="15"/>
        <v>1.0144466449561003</v>
      </c>
      <c r="S26" s="162">
        <f t="shared" si="2"/>
        <v>4.4999999999999929E-2</v>
      </c>
      <c r="T26" s="157">
        <f t="shared" si="8"/>
        <v>0</v>
      </c>
      <c r="U26" s="137">
        <f t="shared" si="3"/>
        <v>86288.62</v>
      </c>
      <c r="V26" s="137">
        <f t="shared" si="9"/>
        <v>86291.389999999985</v>
      </c>
      <c r="W26" s="137">
        <f t="shared" si="16"/>
        <v>5.0958034232650995E-2</v>
      </c>
      <c r="X26" s="139">
        <f t="shared" si="17"/>
        <v>1.0125226956431652</v>
      </c>
      <c r="AA26" s="128">
        <v>12.78</v>
      </c>
      <c r="AB26" s="130">
        <v>12.734999999999999</v>
      </c>
      <c r="AC26" s="127">
        <v>13.65</v>
      </c>
    </row>
    <row r="27" spans="1:29" x14ac:dyDescent="0.3">
      <c r="A27" s="134">
        <v>44840</v>
      </c>
      <c r="B27" s="134">
        <v>45292</v>
      </c>
      <c r="C27" s="135">
        <f>NETWORKDAYS(A27,B27-1,Feriados!$A$2:$A$2000)</f>
        <v>308</v>
      </c>
      <c r="D27" s="128">
        <v>12.788</v>
      </c>
      <c r="E27" s="137">
        <f t="shared" si="4"/>
        <v>8.0000000000008953E-3</v>
      </c>
      <c r="F27" s="138">
        <f t="shared" si="0"/>
        <v>863.22324600000002</v>
      </c>
      <c r="G27" s="137">
        <f t="shared" si="10"/>
        <v>86322.32</v>
      </c>
      <c r="H27" s="137">
        <f t="shared" si="11"/>
        <v>3.9054976195029845E-2</v>
      </c>
      <c r="I27" s="139">
        <f t="shared" si="12"/>
        <v>1.0151069537896507</v>
      </c>
      <c r="J27" s="134">
        <f t="shared" si="5"/>
        <v>45293</v>
      </c>
      <c r="K27" s="130">
        <v>12.74</v>
      </c>
      <c r="L27" s="137">
        <f t="shared" si="6"/>
        <v>5.0000000000007816E-3</v>
      </c>
      <c r="M27" s="137">
        <f t="shared" si="1"/>
        <v>86367.25</v>
      </c>
      <c r="N27" s="127">
        <v>13.65</v>
      </c>
      <c r="O27" s="140">
        <f t="shared" si="13"/>
        <v>-7.4499999999970896</v>
      </c>
      <c r="P27" s="137">
        <f t="shared" si="7"/>
        <v>86367.25</v>
      </c>
      <c r="Q27" s="137">
        <f t="shared" si="14"/>
        <v>4.2163374969650391E-2</v>
      </c>
      <c r="R27" s="139">
        <f t="shared" si="15"/>
        <v>1.0148743698988802</v>
      </c>
      <c r="S27" s="162">
        <f t="shared" si="2"/>
        <v>4.8000000000000043E-2</v>
      </c>
      <c r="T27" s="157">
        <f t="shared" si="8"/>
        <v>3.0000000000001137E-3</v>
      </c>
      <c r="U27" s="137">
        <f t="shared" si="3"/>
        <v>86322.32</v>
      </c>
      <c r="V27" s="137">
        <f t="shared" si="9"/>
        <v>86329.77</v>
      </c>
      <c r="W27" s="137">
        <f t="shared" si="16"/>
        <v>4.7688791407263231E-2</v>
      </c>
      <c r="X27" s="139">
        <f t="shared" si="17"/>
        <v>1.0130055554794417</v>
      </c>
      <c r="AA27" s="128">
        <v>12.788</v>
      </c>
      <c r="AB27" s="130">
        <v>12.74</v>
      </c>
      <c r="AC27" s="127">
        <v>13.65</v>
      </c>
    </row>
    <row r="28" spans="1:29" x14ac:dyDescent="0.3">
      <c r="A28" s="134">
        <v>44841</v>
      </c>
      <c r="B28" s="134">
        <v>45292</v>
      </c>
      <c r="C28" s="135">
        <f>NETWORKDAYS(A28,B28-1,Feriados!$A$2:$A$2000)</f>
        <v>307</v>
      </c>
      <c r="D28" s="128">
        <v>12.8164</v>
      </c>
      <c r="E28" s="137">
        <f t="shared" si="4"/>
        <v>2.8399999999999537E-2</v>
      </c>
      <c r="F28" s="138">
        <f t="shared" si="0"/>
        <v>863.37071600000002</v>
      </c>
      <c r="G28" s="137">
        <f t="shared" si="10"/>
        <v>86337.07</v>
      </c>
      <c r="H28" s="137">
        <f t="shared" si="11"/>
        <v>1.7087121847514375E-2</v>
      </c>
      <c r="I28" s="139">
        <f t="shared" si="12"/>
        <v>1.0152804063517273</v>
      </c>
      <c r="J28" s="134">
        <f t="shared" si="5"/>
        <v>45293</v>
      </c>
      <c r="K28" s="130">
        <v>12.765000000000001</v>
      </c>
      <c r="L28" s="137">
        <f t="shared" si="6"/>
        <v>2.5000000000000355E-2</v>
      </c>
      <c r="M28" s="137">
        <f t="shared" si="1"/>
        <v>86385.02</v>
      </c>
      <c r="N28" s="127">
        <v>13.65</v>
      </c>
      <c r="O28" s="140">
        <f t="shared" si="13"/>
        <v>-26.089999999996508</v>
      </c>
      <c r="P28" s="137">
        <f t="shared" si="7"/>
        <v>86385.02</v>
      </c>
      <c r="Q28" s="137">
        <f t="shared" si="14"/>
        <v>2.0574928575367579E-2</v>
      </c>
      <c r="R28" s="139">
        <f t="shared" si="15"/>
        <v>1.0150831795756166</v>
      </c>
      <c r="S28" s="162">
        <f t="shared" si="2"/>
        <v>5.1399999999999224E-2</v>
      </c>
      <c r="T28" s="157">
        <f t="shared" si="8"/>
        <v>3.3999999999991815E-3</v>
      </c>
      <c r="U28" s="137">
        <f t="shared" si="3"/>
        <v>86337.07</v>
      </c>
      <c r="V28" s="137">
        <f t="shared" si="9"/>
        <v>86363.16</v>
      </c>
      <c r="W28" s="137">
        <f t="shared" si="16"/>
        <v>4.7311054661181018E-2</v>
      </c>
      <c r="X28" s="139">
        <f t="shared" si="17"/>
        <v>1.0134848190915153</v>
      </c>
      <c r="AA28" s="128">
        <v>12.8164</v>
      </c>
      <c r="AB28" s="130">
        <v>12.765000000000001</v>
      </c>
      <c r="AC28" s="127">
        <v>13.65</v>
      </c>
    </row>
    <row r="29" spans="1:29" x14ac:dyDescent="0.3">
      <c r="A29" s="134">
        <v>44844</v>
      </c>
      <c r="B29" s="134">
        <v>45292</v>
      </c>
      <c r="C29" s="135">
        <f>NETWORKDAYS(A29,B29-1,Feriados!$A$2:$A$2000)</f>
        <v>306</v>
      </c>
      <c r="D29" s="128">
        <v>12.760999999999999</v>
      </c>
      <c r="E29" s="137">
        <f t="shared" si="4"/>
        <v>-5.540000000000056E-2</v>
      </c>
      <c r="F29" s="138">
        <f t="shared" si="0"/>
        <v>864.29931699999997</v>
      </c>
      <c r="G29" s="137">
        <f t="shared" si="10"/>
        <v>86429.93</v>
      </c>
      <c r="H29" s="137">
        <f t="shared" si="11"/>
        <v>0.10755519037186634</v>
      </c>
      <c r="I29" s="139">
        <f t="shared" si="12"/>
        <v>1.0163723931255872</v>
      </c>
      <c r="J29" s="134">
        <f t="shared" si="5"/>
        <v>45293</v>
      </c>
      <c r="K29" s="130">
        <v>12.71</v>
      </c>
      <c r="L29" s="137">
        <f t="shared" si="6"/>
        <v>-5.4999999999999716E-2</v>
      </c>
      <c r="M29" s="137">
        <f t="shared" si="1"/>
        <v>86477.42</v>
      </c>
      <c r="N29" s="127">
        <v>13.65</v>
      </c>
      <c r="O29" s="140">
        <f t="shared" si="13"/>
        <v>48.529999999998836</v>
      </c>
      <c r="P29" s="137">
        <f t="shared" si="7"/>
        <v>86477.42</v>
      </c>
      <c r="Q29" s="137">
        <f t="shared" si="14"/>
        <v>0.10696298964796291</v>
      </c>
      <c r="R29" s="139">
        <f t="shared" si="15"/>
        <v>1.0161689428919043</v>
      </c>
      <c r="S29" s="162">
        <f t="shared" si="2"/>
        <v>5.099999999999838E-2</v>
      </c>
      <c r="T29" s="157">
        <f t="shared" si="8"/>
        <v>-4.0000000000084412E-4</v>
      </c>
      <c r="U29" s="137">
        <f t="shared" si="3"/>
        <v>86429.93</v>
      </c>
      <c r="V29" s="137">
        <f t="shared" si="9"/>
        <v>86381.4</v>
      </c>
      <c r="W29" s="137">
        <f t="shared" si="16"/>
        <v>5.1345268029123758E-2</v>
      </c>
      <c r="X29" s="139">
        <f t="shared" si="17"/>
        <v>1.0140051955883123</v>
      </c>
      <c r="AA29" s="128">
        <v>12.760999999999999</v>
      </c>
      <c r="AB29" s="130">
        <v>12.71</v>
      </c>
      <c r="AC29" s="127">
        <v>13.65</v>
      </c>
    </row>
    <row r="30" spans="1:29" x14ac:dyDescent="0.3">
      <c r="A30" s="134">
        <v>44845</v>
      </c>
      <c r="B30" s="134">
        <v>45292</v>
      </c>
      <c r="C30" s="135">
        <f>NETWORKDAYS(A30,B30-1,Feriados!$A$2:$A$2000)</f>
        <v>305</v>
      </c>
      <c r="D30" s="128">
        <v>12.856299999999999</v>
      </c>
      <c r="E30" s="137">
        <f t="shared" si="4"/>
        <v>9.529999999999994E-2</v>
      </c>
      <c r="F30" s="138">
        <f t="shared" si="0"/>
        <v>863.82764299999997</v>
      </c>
      <c r="G30" s="137">
        <f t="shared" si="10"/>
        <v>86382.76</v>
      </c>
      <c r="H30" s="137">
        <f t="shared" si="11"/>
        <v>-5.4576001623507508E-2</v>
      </c>
      <c r="I30" s="139">
        <f t="shared" si="12"/>
        <v>1.0158176977118141</v>
      </c>
      <c r="J30" s="134">
        <f t="shared" si="5"/>
        <v>45293</v>
      </c>
      <c r="K30" s="130">
        <v>12.805</v>
      </c>
      <c r="L30" s="137">
        <f t="shared" si="6"/>
        <v>9.4999999999998863E-2</v>
      </c>
      <c r="M30" s="137">
        <f t="shared" si="1"/>
        <v>86430.31</v>
      </c>
      <c r="N30" s="127">
        <v>13.65</v>
      </c>
      <c r="O30" s="140">
        <f t="shared" si="13"/>
        <v>-91.029999999998836</v>
      </c>
      <c r="P30" s="137">
        <f t="shared" si="7"/>
        <v>86430.31</v>
      </c>
      <c r="Q30" s="137">
        <f t="shared" si="14"/>
        <v>-5.4476648355139545E-2</v>
      </c>
      <c r="R30" s="139">
        <f t="shared" si="15"/>
        <v>1.0156153681101909</v>
      </c>
      <c r="S30" s="162">
        <f t="shared" si="2"/>
        <v>5.1299999999999457E-2</v>
      </c>
      <c r="T30" s="157">
        <f t="shared" si="8"/>
        <v>3.0000000000107718E-4</v>
      </c>
      <c r="U30" s="137">
        <f t="shared" si="3"/>
        <v>86382.76</v>
      </c>
      <c r="V30" s="137">
        <f t="shared" si="9"/>
        <v>86473.79</v>
      </c>
      <c r="W30" s="137">
        <f t="shared" si="16"/>
        <v>5.074630975634431E-2</v>
      </c>
      <c r="X30" s="139">
        <f t="shared" si="17"/>
        <v>1.0145197658058109</v>
      </c>
      <c r="AA30" s="128">
        <v>12.856299999999999</v>
      </c>
      <c r="AB30" s="130">
        <v>12.805</v>
      </c>
      <c r="AC30" s="127">
        <v>13.65</v>
      </c>
    </row>
    <row r="31" spans="1:29" x14ac:dyDescent="0.3">
      <c r="A31" s="134">
        <v>44847</v>
      </c>
      <c r="B31" s="134">
        <v>45292</v>
      </c>
      <c r="C31" s="135">
        <f>NETWORKDAYS(A31,B31-1,Feriados!$A$2:$A$2000)</f>
        <v>304</v>
      </c>
      <c r="D31" s="128">
        <v>12.8498</v>
      </c>
      <c r="E31" s="137">
        <f t="shared" si="4"/>
        <v>-6.4999999999990621E-3</v>
      </c>
      <c r="F31" s="138">
        <f t="shared" si="0"/>
        <v>864.30237999999997</v>
      </c>
      <c r="G31" s="137">
        <f t="shared" si="10"/>
        <v>86430.24</v>
      </c>
      <c r="H31" s="137">
        <f t="shared" si="11"/>
        <v>5.4964671191348735E-2</v>
      </c>
      <c r="I31" s="139">
        <f t="shared" si="12"/>
        <v>1.0163760385692648</v>
      </c>
      <c r="J31" s="134">
        <f t="shared" si="5"/>
        <v>45293</v>
      </c>
      <c r="K31" s="130">
        <v>12.8</v>
      </c>
      <c r="L31" s="137">
        <f t="shared" si="6"/>
        <v>-4.9999999999990052E-3</v>
      </c>
      <c r="M31" s="137">
        <f t="shared" si="1"/>
        <v>86476.27</v>
      </c>
      <c r="N31" s="127">
        <v>13.65</v>
      </c>
      <c r="O31" s="140">
        <f t="shared" si="13"/>
        <v>2.0599999999976717</v>
      </c>
      <c r="P31" s="137">
        <f t="shared" si="7"/>
        <v>86476.27</v>
      </c>
      <c r="Q31" s="137">
        <f t="shared" si="14"/>
        <v>5.3175789835768761E-2</v>
      </c>
      <c r="R31" s="139">
        <f t="shared" si="15"/>
        <v>1.0161554296038771</v>
      </c>
      <c r="S31" s="162">
        <f t="shared" si="2"/>
        <v>4.97999999999994E-2</v>
      </c>
      <c r="T31" s="157">
        <f t="shared" si="8"/>
        <v>-1.5000000000000568E-3</v>
      </c>
      <c r="U31" s="137">
        <f t="shared" si="3"/>
        <v>86430.24</v>
      </c>
      <c r="V31" s="137">
        <f t="shared" si="9"/>
        <v>86428.180000000008</v>
      </c>
      <c r="W31" s="137">
        <f t="shared" si="16"/>
        <v>5.2579936089114376E-2</v>
      </c>
      <c r="X31" s="139">
        <f t="shared" si="17"/>
        <v>1.015053199650283</v>
      </c>
      <c r="AA31" s="128">
        <v>12.8498</v>
      </c>
      <c r="AB31" s="130">
        <v>12.8</v>
      </c>
      <c r="AC31" s="127">
        <v>13.65</v>
      </c>
    </row>
    <row r="32" spans="1:29" x14ac:dyDescent="0.3">
      <c r="A32" s="134">
        <v>44848</v>
      </c>
      <c r="B32" s="134">
        <v>45292</v>
      </c>
      <c r="C32" s="135">
        <f>NETWORKDAYS(A32,B32-1,Feriados!$A$2:$A$2000)</f>
        <v>303</v>
      </c>
      <c r="D32" s="128">
        <v>12.9239</v>
      </c>
      <c r="E32" s="137">
        <f t="shared" si="4"/>
        <v>7.4099999999999611E-2</v>
      </c>
      <c r="F32" s="138">
        <f t="shared" si="0"/>
        <v>864.03488400000003</v>
      </c>
      <c r="G32" s="137">
        <f t="shared" si="10"/>
        <v>86403.49</v>
      </c>
      <c r="H32" s="137">
        <f t="shared" si="11"/>
        <v>-3.0949815712644213E-2</v>
      </c>
      <c r="I32" s="139">
        <f t="shared" si="12"/>
        <v>1.0160614720583803</v>
      </c>
      <c r="J32" s="134">
        <f t="shared" si="5"/>
        <v>45293</v>
      </c>
      <c r="K32" s="130">
        <v>12.875</v>
      </c>
      <c r="L32" s="137">
        <f t="shared" si="6"/>
        <v>7.4999999999999289E-2</v>
      </c>
      <c r="M32" s="137">
        <f t="shared" si="1"/>
        <v>86448.5</v>
      </c>
      <c r="N32" s="127">
        <v>13.65</v>
      </c>
      <c r="O32" s="140">
        <f t="shared" si="13"/>
        <v>-71.690000000002328</v>
      </c>
      <c r="P32" s="137">
        <f t="shared" si="7"/>
        <v>86448.5</v>
      </c>
      <c r="Q32" s="137">
        <f t="shared" si="14"/>
        <v>-3.2112855931465401E-2</v>
      </c>
      <c r="R32" s="139">
        <f t="shared" si="15"/>
        <v>1.0158291130747286</v>
      </c>
      <c r="S32" s="162">
        <f t="shared" si="2"/>
        <v>4.8899999999999721E-2</v>
      </c>
      <c r="T32" s="157">
        <f t="shared" si="8"/>
        <v>-8.9999999999967883E-4</v>
      </c>
      <c r="U32" s="137">
        <f t="shared" si="3"/>
        <v>86403.49</v>
      </c>
      <c r="V32" s="137">
        <f t="shared" si="9"/>
        <v>86475.180000000008</v>
      </c>
      <c r="W32" s="137">
        <f t="shared" si="16"/>
        <v>5.1995690397244054E-2</v>
      </c>
      <c r="X32" s="139">
        <f t="shared" si="17"/>
        <v>1.0155809835693403</v>
      </c>
      <c r="AA32" s="128">
        <v>12.9239</v>
      </c>
      <c r="AB32" s="130">
        <v>12.875</v>
      </c>
      <c r="AC32" s="127">
        <v>13.65</v>
      </c>
    </row>
    <row r="33" spans="1:29" x14ac:dyDescent="0.3">
      <c r="A33" s="134">
        <v>44851</v>
      </c>
      <c r="B33" s="134">
        <v>45292</v>
      </c>
      <c r="C33" s="135">
        <f>NETWORKDAYS(A33,B33-1,Feriados!$A$2:$A$2000)</f>
        <v>302</v>
      </c>
      <c r="D33" s="128">
        <v>12.883599999999999</v>
      </c>
      <c r="E33" s="137">
        <f t="shared" si="4"/>
        <v>-4.0300000000000225E-2</v>
      </c>
      <c r="F33" s="138">
        <f t="shared" si="0"/>
        <v>864.82158300000003</v>
      </c>
      <c r="G33" s="137">
        <f t="shared" si="10"/>
        <v>86482.16</v>
      </c>
      <c r="H33" s="137">
        <f t="shared" si="11"/>
        <v>9.1049562928535721E-2</v>
      </c>
      <c r="I33" s="139">
        <f t="shared" si="12"/>
        <v>1.0169865915877747</v>
      </c>
      <c r="J33" s="134">
        <f t="shared" si="5"/>
        <v>45293</v>
      </c>
      <c r="K33" s="130">
        <v>12.84</v>
      </c>
      <c r="L33" s="137">
        <f t="shared" si="6"/>
        <v>-3.5000000000000142E-2</v>
      </c>
      <c r="M33" s="137">
        <f t="shared" si="1"/>
        <v>86522.21</v>
      </c>
      <c r="N33" s="127">
        <v>13.65</v>
      </c>
      <c r="O33" s="140">
        <f t="shared" si="13"/>
        <v>29.80000000000291</v>
      </c>
      <c r="P33" s="137">
        <f t="shared" si="7"/>
        <v>86522.21</v>
      </c>
      <c r="Q33" s="137">
        <f t="shared" si="14"/>
        <v>8.5264637327431281E-2</v>
      </c>
      <c r="R33" s="139">
        <f t="shared" si="15"/>
        <v>1.0166952560838582</v>
      </c>
      <c r="S33" s="162">
        <f t="shared" si="2"/>
        <v>4.3599999999999639E-2</v>
      </c>
      <c r="T33" s="157">
        <f t="shared" si="8"/>
        <v>-5.3000000000000824E-3</v>
      </c>
      <c r="U33" s="137">
        <f t="shared" si="3"/>
        <v>86482.16</v>
      </c>
      <c r="V33" s="137">
        <f t="shared" si="9"/>
        <v>86452.36</v>
      </c>
      <c r="W33" s="137">
        <f t="shared" si="16"/>
        <v>5.6560215333889552E-2</v>
      </c>
      <c r="X33" s="139">
        <f t="shared" si="17"/>
        <v>1.0161553983605371</v>
      </c>
      <c r="AA33" s="128">
        <v>12.883599999999999</v>
      </c>
      <c r="AB33" s="130">
        <v>12.84</v>
      </c>
      <c r="AC33" s="127">
        <v>13.65</v>
      </c>
    </row>
    <row r="34" spans="1:29" x14ac:dyDescent="0.3">
      <c r="A34" s="134">
        <v>44852</v>
      </c>
      <c r="B34" s="134">
        <v>45292</v>
      </c>
      <c r="C34" s="135">
        <f>NETWORKDAYS(A34,B34-1,Feriados!$A$2:$A$2000)</f>
        <v>301</v>
      </c>
      <c r="D34" s="128">
        <v>12.8683</v>
      </c>
      <c r="E34" s="137">
        <f t="shared" si="4"/>
        <v>-1.5299999999999869E-2</v>
      </c>
      <c r="F34" s="138">
        <f t="shared" si="0"/>
        <v>865.37767199999996</v>
      </c>
      <c r="G34" s="137">
        <f t="shared" si="10"/>
        <v>86537.77</v>
      </c>
      <c r="H34" s="137">
        <f t="shared" si="11"/>
        <v>6.4302279221517544E-2</v>
      </c>
      <c r="I34" s="139">
        <f t="shared" si="12"/>
        <v>1.0176405371455428</v>
      </c>
      <c r="J34" s="134">
        <f t="shared" si="5"/>
        <v>45293</v>
      </c>
      <c r="K34" s="130">
        <v>12.824999999999999</v>
      </c>
      <c r="L34" s="137">
        <f t="shared" si="6"/>
        <v>-1.5000000000000568E-2</v>
      </c>
      <c r="M34" s="137">
        <f t="shared" ref="M34:M65" si="18">+ROUND((100000/(1+K34/100)^(C34/252)),2)</f>
        <v>86577.44</v>
      </c>
      <c r="N34" s="127">
        <v>13.65</v>
      </c>
      <c r="O34" s="140">
        <f t="shared" si="13"/>
        <v>11.290000000008149</v>
      </c>
      <c r="P34" s="137">
        <f t="shared" si="7"/>
        <v>86577.44</v>
      </c>
      <c r="Q34" s="137">
        <f t="shared" si="14"/>
        <v>6.3833320947304095E-2</v>
      </c>
      <c r="R34" s="139">
        <f t="shared" si="15"/>
        <v>1.0173442464297302</v>
      </c>
      <c r="S34" s="162">
        <f t="shared" ref="S34:S65" si="19">+D34-K34</f>
        <v>4.3300000000000338E-2</v>
      </c>
      <c r="T34" s="157">
        <f t="shared" si="8"/>
        <v>-2.9999999999930083E-4</v>
      </c>
      <c r="U34" s="137">
        <f t="shared" ref="U34:U65" si="20">+G34</f>
        <v>86537.77</v>
      </c>
      <c r="V34" s="137">
        <f t="shared" si="9"/>
        <v>86526.48</v>
      </c>
      <c r="W34" s="137">
        <f t="shared" si="16"/>
        <v>5.1247563659373441E-2</v>
      </c>
      <c r="X34" s="139">
        <f t="shared" si="17"/>
        <v>1.0166761532451902</v>
      </c>
      <c r="AA34" s="128">
        <v>12.8683</v>
      </c>
      <c r="AB34" s="130">
        <v>12.824999999999999</v>
      </c>
      <c r="AC34" s="127">
        <v>13.65</v>
      </c>
    </row>
    <row r="35" spans="1:29" x14ac:dyDescent="0.3">
      <c r="A35" s="134">
        <v>44853</v>
      </c>
      <c r="B35" s="134">
        <v>45292</v>
      </c>
      <c r="C35" s="135">
        <f>NETWORKDAYS(A35,B35-1,Feriados!$A$2:$A$2000)</f>
        <v>300</v>
      </c>
      <c r="D35" s="128">
        <v>12.9048</v>
      </c>
      <c r="E35" s="137">
        <f t="shared" si="4"/>
        <v>3.6500000000000199E-2</v>
      </c>
      <c r="F35" s="138">
        <f t="shared" si="0"/>
        <v>865.46027000000004</v>
      </c>
      <c r="G35" s="137">
        <f t="shared" si="10"/>
        <v>86546.03</v>
      </c>
      <c r="H35" s="137">
        <f t="shared" si="11"/>
        <v>9.5449651637657951E-3</v>
      </c>
      <c r="I35" s="139">
        <f t="shared" si="12"/>
        <v>1.0177376705803056</v>
      </c>
      <c r="J35" s="134">
        <f t="shared" si="5"/>
        <v>45293</v>
      </c>
      <c r="K35" s="130">
        <v>12.865</v>
      </c>
      <c r="L35" s="137">
        <f t="shared" si="6"/>
        <v>4.0000000000000924E-2</v>
      </c>
      <c r="M35" s="137">
        <f t="shared" si="18"/>
        <v>86582.36</v>
      </c>
      <c r="N35" s="127">
        <v>13.65</v>
      </c>
      <c r="O35" s="140">
        <f t="shared" si="13"/>
        <v>-39.05000000000291</v>
      </c>
      <c r="P35" s="137">
        <f t="shared" ref="P35:P66" si="21">+ROUND(((1+N34/100)^(1/252))*P34,2)+O35</f>
        <v>86582.36</v>
      </c>
      <c r="Q35" s="137">
        <f t="shared" si="14"/>
        <v>5.6827737110243248E-3</v>
      </c>
      <c r="R35" s="139">
        <f t="shared" si="15"/>
        <v>1.0174020598011169</v>
      </c>
      <c r="S35" s="162">
        <f t="shared" si="19"/>
        <v>3.9799999999999613E-2</v>
      </c>
      <c r="T35" s="157">
        <f t="shared" si="8"/>
        <v>-3.5000000000007248E-3</v>
      </c>
      <c r="U35" s="137">
        <f t="shared" si="20"/>
        <v>86546.03</v>
      </c>
      <c r="V35" s="137">
        <f t="shared" ref="V35:V66" si="22">+U35-O35</f>
        <v>86585.08</v>
      </c>
      <c r="W35" s="137">
        <f t="shared" si="16"/>
        <v>5.4669770205539869E-2</v>
      </c>
      <c r="X35" s="139">
        <f t="shared" si="17"/>
        <v>1.0172319677619039</v>
      </c>
      <c r="AA35" s="128">
        <v>12.9048</v>
      </c>
      <c r="AB35" s="130">
        <v>12.865</v>
      </c>
      <c r="AC35" s="127">
        <v>13.65</v>
      </c>
    </row>
    <row r="36" spans="1:29" x14ac:dyDescent="0.3">
      <c r="A36" s="134">
        <v>44854</v>
      </c>
      <c r="B36" s="134">
        <v>45292</v>
      </c>
      <c r="C36" s="135">
        <f>NETWORKDAYS(A36,B36-1,Feriados!$A$2:$A$2000)</f>
        <v>299</v>
      </c>
      <c r="D36" s="128">
        <v>12.8964</v>
      </c>
      <c r="E36" s="137">
        <f t="shared" si="4"/>
        <v>-8.3999999999999631E-3</v>
      </c>
      <c r="F36" s="138">
        <f t="shared" si="0"/>
        <v>865.95365700000002</v>
      </c>
      <c r="G36" s="137">
        <f t="shared" si="10"/>
        <v>86595.37</v>
      </c>
      <c r="H36" s="137">
        <f t="shared" si="11"/>
        <v>5.7010125132261891E-2</v>
      </c>
      <c r="I36" s="139">
        <f t="shared" si="12"/>
        <v>1.0183178840998217</v>
      </c>
      <c r="J36" s="134">
        <f t="shared" si="5"/>
        <v>45293</v>
      </c>
      <c r="K36" s="130">
        <v>12.86</v>
      </c>
      <c r="L36" s="137">
        <f t="shared" si="6"/>
        <v>-5.0000000000007816E-3</v>
      </c>
      <c r="M36" s="137">
        <f t="shared" si="18"/>
        <v>86628.5</v>
      </c>
      <c r="N36" s="127">
        <v>13.65</v>
      </c>
      <c r="O36" s="140">
        <f t="shared" si="13"/>
        <v>2.1699999999982538</v>
      </c>
      <c r="P36" s="137">
        <f t="shared" si="21"/>
        <v>86628.5</v>
      </c>
      <c r="Q36" s="137">
        <f t="shared" si="14"/>
        <v>5.3290300703290328E-2</v>
      </c>
      <c r="R36" s="139">
        <f t="shared" si="15"/>
        <v>1.0179442364181464</v>
      </c>
      <c r="S36" s="162">
        <f t="shared" si="19"/>
        <v>3.6400000000000432E-2</v>
      </c>
      <c r="T36" s="157">
        <f t="shared" si="8"/>
        <v>-3.3999999999991815E-3</v>
      </c>
      <c r="U36" s="137">
        <f t="shared" si="20"/>
        <v>86595.37</v>
      </c>
      <c r="V36" s="137">
        <f t="shared" si="22"/>
        <v>86593.2</v>
      </c>
      <c r="W36" s="137">
        <f t="shared" si="16"/>
        <v>5.4502788862764717E-2</v>
      </c>
      <c r="X36" s="139">
        <f t="shared" si="17"/>
        <v>1.0177863875535378</v>
      </c>
      <c r="AA36" s="128">
        <v>12.8964</v>
      </c>
      <c r="AB36" s="130">
        <v>12.86</v>
      </c>
      <c r="AC36" s="127">
        <v>13.65</v>
      </c>
    </row>
    <row r="37" spans="1:29" x14ac:dyDescent="0.3">
      <c r="A37" s="134">
        <v>44855</v>
      </c>
      <c r="B37" s="134">
        <v>45292</v>
      </c>
      <c r="C37" s="135">
        <f>NETWORKDAYS(A37,B37-1,Feriados!$A$2:$A$2000)</f>
        <v>298</v>
      </c>
      <c r="D37" s="128">
        <v>12.8688</v>
      </c>
      <c r="E37" s="137">
        <f t="shared" si="4"/>
        <v>-2.7599999999999625E-2</v>
      </c>
      <c r="F37" s="138">
        <f t="shared" si="0"/>
        <v>866.62111800000002</v>
      </c>
      <c r="G37" s="137">
        <f t="shared" si="10"/>
        <v>86662.11</v>
      </c>
      <c r="H37" s="137">
        <f t="shared" si="11"/>
        <v>7.707109514054622E-2</v>
      </c>
      <c r="I37" s="139">
        <f t="shared" si="12"/>
        <v>1.0191027128451096</v>
      </c>
      <c r="J37" s="134">
        <f t="shared" si="5"/>
        <v>45293</v>
      </c>
      <c r="K37" s="130">
        <v>12.835000000000001</v>
      </c>
      <c r="L37" s="137">
        <f t="shared" si="6"/>
        <v>-2.4999999999998579E-2</v>
      </c>
      <c r="M37" s="137">
        <f t="shared" si="18"/>
        <v>86692.81</v>
      </c>
      <c r="N37" s="127">
        <v>13.65</v>
      </c>
      <c r="O37" s="140">
        <f t="shared" si="13"/>
        <v>20.309999999997672</v>
      </c>
      <c r="P37" s="137">
        <f t="shared" si="21"/>
        <v>86692.81</v>
      </c>
      <c r="Q37" s="137">
        <f t="shared" si="14"/>
        <v>7.4236538783423178E-2</v>
      </c>
      <c r="R37" s="139">
        <f t="shared" si="15"/>
        <v>1.0186999229860085</v>
      </c>
      <c r="S37" s="162">
        <f t="shared" si="19"/>
        <v>3.3799999999999386E-2</v>
      </c>
      <c r="T37" s="157">
        <f t="shared" si="8"/>
        <v>-2.6000000000010459E-3</v>
      </c>
      <c r="U37" s="137">
        <f t="shared" si="20"/>
        <v>86662.11</v>
      </c>
      <c r="V37" s="137">
        <f t="shared" si="22"/>
        <v>86641.8</v>
      </c>
      <c r="W37" s="137">
        <f t="shared" si="16"/>
        <v>5.3617185306809034E-2</v>
      </c>
      <c r="X37" s="139">
        <f t="shared" si="17"/>
        <v>1.0183320959669799</v>
      </c>
      <c r="AA37" s="128">
        <v>12.8688</v>
      </c>
      <c r="AB37" s="130">
        <v>12.835000000000001</v>
      </c>
      <c r="AC37" s="127">
        <v>13.65</v>
      </c>
    </row>
    <row r="38" spans="1:29" x14ac:dyDescent="0.3">
      <c r="A38" s="134">
        <v>44858</v>
      </c>
      <c r="B38" s="134">
        <v>45292</v>
      </c>
      <c r="C38" s="135">
        <f>NETWORKDAYS(A38,B38-1,Feriados!$A$2:$A$2000)</f>
        <v>297</v>
      </c>
      <c r="D38" s="128">
        <v>12.911099999999999</v>
      </c>
      <c r="E38" s="137">
        <f t="shared" si="4"/>
        <v>4.2299999999999116E-2</v>
      </c>
      <c r="F38" s="138">
        <f t="shared" si="0"/>
        <v>866.65471600000001</v>
      </c>
      <c r="G38" s="137">
        <f t="shared" si="10"/>
        <v>86665.47</v>
      </c>
      <c r="H38" s="137">
        <f t="shared" si="11"/>
        <v>3.8771269243342843E-3</v>
      </c>
      <c r="I38" s="139">
        <f t="shared" si="12"/>
        <v>1.019142224750776</v>
      </c>
      <c r="J38" s="134">
        <f t="shared" si="5"/>
        <v>45293</v>
      </c>
      <c r="K38" s="130">
        <v>12.875</v>
      </c>
      <c r="L38" s="137">
        <f t="shared" si="6"/>
        <v>3.9999999999999147E-2</v>
      </c>
      <c r="M38" s="137">
        <f t="shared" si="18"/>
        <v>86698.14</v>
      </c>
      <c r="N38" s="127">
        <v>13.65</v>
      </c>
      <c r="O38" s="140">
        <f t="shared" si="13"/>
        <v>-38.69999999999709</v>
      </c>
      <c r="P38" s="137">
        <f t="shared" si="21"/>
        <v>86698.14</v>
      </c>
      <c r="Q38" s="137">
        <f t="shared" si="14"/>
        <v>6.1481453883072135E-3</v>
      </c>
      <c r="R38" s="139">
        <f t="shared" si="15"/>
        <v>1.0187625541383443</v>
      </c>
      <c r="S38" s="162">
        <f t="shared" si="19"/>
        <v>3.6099999999999355E-2</v>
      </c>
      <c r="T38" s="157">
        <f t="shared" si="8"/>
        <v>2.2999999999999687E-3</v>
      </c>
      <c r="U38" s="137">
        <f t="shared" si="20"/>
        <v>86665.47</v>
      </c>
      <c r="V38" s="137">
        <f t="shared" si="22"/>
        <v>86704.17</v>
      </c>
      <c r="W38" s="137">
        <f t="shared" si="16"/>
        <v>4.8533320963439763E-2</v>
      </c>
      <c r="X38" s="139">
        <f t="shared" si="17"/>
        <v>1.0188263263515893</v>
      </c>
      <c r="AA38" s="128">
        <v>12.911099999999999</v>
      </c>
      <c r="AB38" s="130">
        <v>12.875</v>
      </c>
      <c r="AC38" s="127">
        <v>13.65</v>
      </c>
    </row>
    <row r="39" spans="1:29" x14ac:dyDescent="0.3">
      <c r="A39" s="134">
        <v>44859</v>
      </c>
      <c r="B39" s="134">
        <v>45292</v>
      </c>
      <c r="C39" s="135">
        <f>NETWORKDAYS(A39,B39-1,Feriados!$A$2:$A$2000)</f>
        <v>296</v>
      </c>
      <c r="D39" s="128">
        <v>12.9754</v>
      </c>
      <c r="E39" s="137">
        <f t="shared" si="4"/>
        <v>6.4300000000001134E-2</v>
      </c>
      <c r="F39" s="138">
        <f t="shared" si="0"/>
        <v>866.492797</v>
      </c>
      <c r="G39" s="137">
        <f t="shared" si="10"/>
        <v>86649.279999999999</v>
      </c>
      <c r="H39" s="137">
        <f t="shared" si="11"/>
        <v>-1.8681027172651188E-2</v>
      </c>
      <c r="I39" s="139">
        <f t="shared" si="12"/>
        <v>1.0189518385148424</v>
      </c>
      <c r="J39" s="134">
        <f t="shared" si="5"/>
        <v>45293</v>
      </c>
      <c r="K39" s="130">
        <v>12.94</v>
      </c>
      <c r="L39" s="137">
        <f t="shared" si="6"/>
        <v>6.4999999999999503E-2</v>
      </c>
      <c r="M39" s="137">
        <f t="shared" si="18"/>
        <v>86681.18</v>
      </c>
      <c r="N39" s="127">
        <v>13.65</v>
      </c>
      <c r="O39" s="140">
        <f t="shared" si="13"/>
        <v>-60.990000000005239</v>
      </c>
      <c r="P39" s="137">
        <f t="shared" si="21"/>
        <v>86681.18</v>
      </c>
      <c r="Q39" s="137">
        <f t="shared" si="14"/>
        <v>-1.956212670768398E-2</v>
      </c>
      <c r="R39" s="139">
        <f t="shared" si="15"/>
        <v>1.0185632625166532</v>
      </c>
      <c r="S39" s="162">
        <f t="shared" si="19"/>
        <v>3.5400000000000986E-2</v>
      </c>
      <c r="T39" s="157">
        <f t="shared" si="8"/>
        <v>-6.9999999999836859E-4</v>
      </c>
      <c r="U39" s="137">
        <f t="shared" si="20"/>
        <v>86649.279999999999</v>
      </c>
      <c r="V39" s="137">
        <f t="shared" si="22"/>
        <v>86710.27</v>
      </c>
      <c r="W39" s="137">
        <f t="shared" si="16"/>
        <v>5.169302145364707E-2</v>
      </c>
      <c r="X39" s="139">
        <f t="shared" si="17"/>
        <v>1.0193529884630457</v>
      </c>
      <c r="AA39" s="128">
        <v>12.9754</v>
      </c>
      <c r="AB39" s="130">
        <v>12.94</v>
      </c>
      <c r="AC39" s="127">
        <v>13.65</v>
      </c>
    </row>
    <row r="40" spans="1:29" x14ac:dyDescent="0.3">
      <c r="A40" s="134">
        <v>44860</v>
      </c>
      <c r="B40" s="134">
        <v>45292</v>
      </c>
      <c r="C40" s="135">
        <f>NETWORKDAYS(A40,B40-1,Feriados!$A$2:$A$2000)</f>
        <v>295</v>
      </c>
      <c r="D40" s="128">
        <v>13.0191</v>
      </c>
      <c r="E40" s="137">
        <f t="shared" si="4"/>
        <v>4.3699999999999406E-2</v>
      </c>
      <c r="F40" s="138">
        <f t="shared" si="0"/>
        <v>866.52000699999996</v>
      </c>
      <c r="G40" s="137">
        <f t="shared" si="10"/>
        <v>86652</v>
      </c>
      <c r="H40" s="137">
        <f t="shared" si="11"/>
        <v>3.1390912884621258E-3</v>
      </c>
      <c r="I40" s="139">
        <f t="shared" si="12"/>
        <v>1.0189838243432388</v>
      </c>
      <c r="J40" s="134">
        <f t="shared" si="5"/>
        <v>45293</v>
      </c>
      <c r="K40" s="130">
        <v>12.984999999999999</v>
      </c>
      <c r="L40" s="137">
        <f t="shared" si="6"/>
        <v>4.4999999999999929E-2</v>
      </c>
      <c r="M40" s="137">
        <f t="shared" si="18"/>
        <v>86682.62</v>
      </c>
      <c r="N40" s="127">
        <v>13.65</v>
      </c>
      <c r="O40" s="140">
        <f t="shared" si="13"/>
        <v>-42.580000000001746</v>
      </c>
      <c r="P40" s="137">
        <f t="shared" si="21"/>
        <v>86682.62</v>
      </c>
      <c r="Q40" s="137">
        <f t="shared" si="14"/>
        <v>1.6612602643517604E-3</v>
      </c>
      <c r="R40" s="139">
        <f t="shared" si="15"/>
        <v>1.0185801835034007</v>
      </c>
      <c r="S40" s="162">
        <f t="shared" si="19"/>
        <v>3.4100000000000463E-2</v>
      </c>
      <c r="T40" s="157">
        <f t="shared" si="8"/>
        <v>-1.300000000000523E-3</v>
      </c>
      <c r="U40" s="137">
        <f t="shared" si="20"/>
        <v>86652</v>
      </c>
      <c r="V40" s="137">
        <f t="shared" si="22"/>
        <v>86694.58</v>
      </c>
      <c r="W40" s="137">
        <f t="shared" si="16"/>
        <v>5.2279718885150928E-2</v>
      </c>
      <c r="X40" s="139">
        <f t="shared" si="17"/>
        <v>1.0198859033398615</v>
      </c>
      <c r="AA40" s="128">
        <v>13.0191</v>
      </c>
      <c r="AB40" s="130">
        <v>12.984999999999999</v>
      </c>
      <c r="AC40" s="127">
        <v>13.65</v>
      </c>
    </row>
    <row r="41" spans="1:29" x14ac:dyDescent="0.3">
      <c r="A41" s="134">
        <v>44861</v>
      </c>
      <c r="B41" s="134">
        <v>45292</v>
      </c>
      <c r="C41" s="135">
        <f>NETWORKDAYS(A41,B41-1,Feriados!$A$2:$A$2000)</f>
        <v>294</v>
      </c>
      <c r="D41" s="128">
        <v>12.9933</v>
      </c>
      <c r="E41" s="137">
        <f t="shared" si="4"/>
        <v>-2.5800000000000267E-2</v>
      </c>
      <c r="F41" s="138">
        <f t="shared" si="0"/>
        <v>867.17189099999996</v>
      </c>
      <c r="G41" s="137">
        <f t="shared" si="10"/>
        <v>86717.19</v>
      </c>
      <c r="H41" s="137">
        <f t="shared" si="11"/>
        <v>7.5231962332100721E-2</v>
      </c>
      <c r="I41" s="139">
        <f t="shared" si="12"/>
        <v>1.0197504258701389</v>
      </c>
      <c r="J41" s="134">
        <f t="shared" si="5"/>
        <v>45293</v>
      </c>
      <c r="K41" s="130">
        <v>12.96</v>
      </c>
      <c r="L41" s="137">
        <f t="shared" si="6"/>
        <v>-2.4999999999998579E-2</v>
      </c>
      <c r="M41" s="137">
        <f t="shared" si="18"/>
        <v>86747.01</v>
      </c>
      <c r="N41" s="127">
        <v>13.65</v>
      </c>
      <c r="O41" s="140">
        <f t="shared" si="13"/>
        <v>20.369999999995343</v>
      </c>
      <c r="P41" s="137">
        <f t="shared" si="21"/>
        <v>86747.01</v>
      </c>
      <c r="Q41" s="137">
        <f t="shared" si="14"/>
        <v>7.4282480155773989E-2</v>
      </c>
      <c r="R41" s="139">
        <f t="shared" si="15"/>
        <v>1.0193368101260822</v>
      </c>
      <c r="S41" s="162">
        <f t="shared" si="19"/>
        <v>3.3299999999998775E-2</v>
      </c>
      <c r="T41" s="157">
        <f t="shared" si="8"/>
        <v>-8.0000000000168825E-4</v>
      </c>
      <c r="U41" s="137">
        <f t="shared" si="20"/>
        <v>86717.19</v>
      </c>
      <c r="V41" s="137">
        <f t="shared" si="22"/>
        <v>86696.82</v>
      </c>
      <c r="W41" s="137">
        <f t="shared" si="16"/>
        <v>5.1724137931041803E-2</v>
      </c>
      <c r="X41" s="139">
        <f t="shared" si="17"/>
        <v>1.0204134305312442</v>
      </c>
      <c r="AA41" s="128">
        <v>12.9933</v>
      </c>
      <c r="AB41" s="130">
        <v>12.96</v>
      </c>
      <c r="AC41" s="127">
        <v>13.65</v>
      </c>
    </row>
    <row r="42" spans="1:29" x14ac:dyDescent="0.3">
      <c r="A42" s="134">
        <v>44862</v>
      </c>
      <c r="B42" s="134">
        <v>45292</v>
      </c>
      <c r="C42" s="135">
        <f>NETWORKDAYS(A42,B42-1,Feriados!$A$2:$A$2000)</f>
        <v>293</v>
      </c>
      <c r="D42" s="128">
        <v>12.9979</v>
      </c>
      <c r="E42" s="137">
        <f t="shared" si="4"/>
        <v>4.5999999999999375E-3</v>
      </c>
      <c r="F42" s="138">
        <f t="shared" si="0"/>
        <v>867.55129399999998</v>
      </c>
      <c r="G42" s="137">
        <f t="shared" si="10"/>
        <v>86755.13</v>
      </c>
      <c r="H42" s="137">
        <f t="shared" si="11"/>
        <v>4.3751417683157712E-2</v>
      </c>
      <c r="I42" s="139">
        <f t="shared" si="12"/>
        <v>1.0201965811382872</v>
      </c>
      <c r="J42" s="134">
        <f t="shared" si="5"/>
        <v>45293</v>
      </c>
      <c r="K42" s="130">
        <v>12.965</v>
      </c>
      <c r="L42" s="137">
        <f t="shared" si="6"/>
        <v>4.9999999999990052E-3</v>
      </c>
      <c r="M42" s="137">
        <f t="shared" si="18"/>
        <v>86784.51</v>
      </c>
      <c r="N42" s="127">
        <v>13.65</v>
      </c>
      <c r="O42" s="140">
        <f t="shared" si="13"/>
        <v>-6.5600000000122236</v>
      </c>
      <c r="P42" s="137">
        <f t="shared" si="21"/>
        <v>86784.51</v>
      </c>
      <c r="Q42" s="137">
        <f t="shared" si="14"/>
        <v>4.3229155679247455E-2</v>
      </c>
      <c r="R42" s="139">
        <f t="shared" si="15"/>
        <v>1.0197774608226275</v>
      </c>
      <c r="S42" s="162">
        <f t="shared" si="19"/>
        <v>3.2899999999999707E-2</v>
      </c>
      <c r="T42" s="157">
        <f t="shared" si="8"/>
        <v>-3.9999999999906777E-4</v>
      </c>
      <c r="U42" s="137">
        <f t="shared" si="20"/>
        <v>86755.13</v>
      </c>
      <c r="V42" s="137">
        <f t="shared" si="22"/>
        <v>86761.690000000017</v>
      </c>
      <c r="W42" s="137">
        <f t="shared" si="16"/>
        <v>5.1316238452847607E-2</v>
      </c>
      <c r="X42" s="139">
        <f t="shared" si="17"/>
        <v>1.0209370683204606</v>
      </c>
      <c r="AA42" s="128">
        <v>12.9979</v>
      </c>
      <c r="AB42" s="130">
        <v>12.965</v>
      </c>
      <c r="AC42" s="127">
        <v>13.65</v>
      </c>
    </row>
    <row r="43" spans="1:29" x14ac:dyDescent="0.3">
      <c r="A43" s="134">
        <v>44865</v>
      </c>
      <c r="B43" s="134">
        <v>45292</v>
      </c>
      <c r="C43" s="135">
        <f>NETWORKDAYS(A43,B43-1,Feriados!$A$2:$A$2000)</f>
        <v>292</v>
      </c>
      <c r="D43" s="128">
        <v>12.946099999999999</v>
      </c>
      <c r="E43" s="137">
        <f t="shared" si="4"/>
        <v>-5.1800000000000068E-2</v>
      </c>
      <c r="F43" s="138">
        <f t="shared" si="0"/>
        <v>868.43336399999998</v>
      </c>
      <c r="G43" s="137">
        <f t="shared" si="10"/>
        <v>86843.34</v>
      </c>
      <c r="H43" s="137">
        <f t="shared" si="11"/>
        <v>0.1016769844042642</v>
      </c>
      <c r="I43" s="139">
        <f t="shared" si="12"/>
        <v>1.0212338862569839</v>
      </c>
      <c r="J43" s="134">
        <f t="shared" si="5"/>
        <v>45293</v>
      </c>
      <c r="K43" s="130">
        <v>12.914999999999999</v>
      </c>
      <c r="L43" s="137">
        <f t="shared" si="6"/>
        <v>-5.0000000000000711E-2</v>
      </c>
      <c r="M43" s="137">
        <f t="shared" si="18"/>
        <v>86871.05</v>
      </c>
      <c r="N43" s="127">
        <v>13.65</v>
      </c>
      <c r="O43" s="140">
        <f t="shared" si="13"/>
        <v>42.460000000006403</v>
      </c>
      <c r="P43" s="137">
        <f t="shared" si="21"/>
        <v>86871.05</v>
      </c>
      <c r="Q43" s="137">
        <f t="shared" si="14"/>
        <v>9.9718256172676156E-2</v>
      </c>
      <c r="R43" s="139">
        <f t="shared" si="15"/>
        <v>1.0207943651234019</v>
      </c>
      <c r="S43" s="162">
        <f t="shared" si="19"/>
        <v>3.110000000000035E-2</v>
      </c>
      <c r="T43" s="157">
        <f t="shared" si="8"/>
        <v>-1.7999999999993577E-3</v>
      </c>
      <c r="U43" s="137">
        <f t="shared" si="20"/>
        <v>86843.34</v>
      </c>
      <c r="V43" s="137">
        <f t="shared" si="22"/>
        <v>86800.87999999999</v>
      </c>
      <c r="W43" s="137">
        <f t="shared" si="16"/>
        <v>5.2734633675255438E-2</v>
      </c>
      <c r="X43" s="139">
        <f t="shared" si="17"/>
        <v>1.0214754557434942</v>
      </c>
      <c r="AA43" s="128">
        <v>12.946099999999999</v>
      </c>
      <c r="AB43" s="130">
        <v>12.914999999999999</v>
      </c>
      <c r="AC43" s="127">
        <v>13.65</v>
      </c>
    </row>
    <row r="44" spans="1:29" x14ac:dyDescent="0.3">
      <c r="A44" s="134">
        <v>44866</v>
      </c>
      <c r="B44" s="134">
        <v>45292</v>
      </c>
      <c r="C44" s="135">
        <f>NETWORKDAYS(A44,B44-1,Feriados!$A$2:$A$2000)</f>
        <v>291</v>
      </c>
      <c r="D44" s="128">
        <v>12.946300000000001</v>
      </c>
      <c r="E44" s="137">
        <f t="shared" si="4"/>
        <v>2.0000000000131024E-4</v>
      </c>
      <c r="F44" s="138">
        <f t="shared" si="0"/>
        <v>868.85122699999999</v>
      </c>
      <c r="G44" s="137">
        <f t="shared" si="10"/>
        <v>86885.119999999995</v>
      </c>
      <c r="H44" s="137">
        <f t="shared" si="11"/>
        <v>4.8109618998992687E-2</v>
      </c>
      <c r="I44" s="139">
        <f t="shared" si="12"/>
        <v>1.0217251979887507</v>
      </c>
      <c r="J44" s="134">
        <f t="shared" si="5"/>
        <v>45293</v>
      </c>
      <c r="K44" s="130">
        <v>12.92</v>
      </c>
      <c r="L44" s="137">
        <f t="shared" si="6"/>
        <v>5.0000000000007816E-3</v>
      </c>
      <c r="M44" s="137">
        <f t="shared" si="18"/>
        <v>86908.49</v>
      </c>
      <c r="N44" s="127">
        <v>13.65</v>
      </c>
      <c r="O44" s="140">
        <f t="shared" si="13"/>
        <v>-6.6799999999930151</v>
      </c>
      <c r="P44" s="137">
        <f t="shared" si="21"/>
        <v>86908.49</v>
      </c>
      <c r="Q44" s="137">
        <f t="shared" si="14"/>
        <v>4.3098362457927308E-2</v>
      </c>
      <c r="R44" s="139">
        <f t="shared" si="15"/>
        <v>1.0212343107788329</v>
      </c>
      <c r="S44" s="162">
        <f t="shared" si="19"/>
        <v>2.6300000000000878E-2</v>
      </c>
      <c r="T44" s="157">
        <f t="shared" si="8"/>
        <v>-4.7999999999994714E-3</v>
      </c>
      <c r="U44" s="137">
        <f t="shared" si="20"/>
        <v>86885.119999999995</v>
      </c>
      <c r="V44" s="137">
        <f t="shared" si="22"/>
        <v>86891.799999999988</v>
      </c>
      <c r="W44" s="137">
        <f t="shared" si="16"/>
        <v>5.5801630844687367E-2</v>
      </c>
      <c r="X44" s="139">
        <f t="shared" si="17"/>
        <v>1.0220454557064773</v>
      </c>
      <c r="AA44" s="128">
        <v>12.946300000000001</v>
      </c>
      <c r="AB44" s="130">
        <v>12.92</v>
      </c>
      <c r="AC44" s="127">
        <v>13.65</v>
      </c>
    </row>
    <row r="45" spans="1:29" x14ac:dyDescent="0.3">
      <c r="A45" s="134">
        <v>44868</v>
      </c>
      <c r="B45" s="134">
        <v>45292</v>
      </c>
      <c r="C45" s="135">
        <f>NETWORKDAYS(A45,B45-1,Feriados!$A$2:$A$2000)</f>
        <v>290</v>
      </c>
      <c r="D45" s="128">
        <v>13.002000000000001</v>
      </c>
      <c r="E45" s="137">
        <f t="shared" si="4"/>
        <v>5.5699999999999861E-2</v>
      </c>
      <c r="F45" s="138">
        <f t="shared" si="0"/>
        <v>868.778007</v>
      </c>
      <c r="G45" s="137">
        <f t="shared" si="10"/>
        <v>86877.8</v>
      </c>
      <c r="H45" s="137">
        <f t="shared" si="11"/>
        <v>-8.4249178685547044E-3</v>
      </c>
      <c r="I45" s="139">
        <f t="shared" si="12"/>
        <v>1.0216391184799778</v>
      </c>
      <c r="J45" s="134">
        <f t="shared" si="5"/>
        <v>45293</v>
      </c>
      <c r="K45" s="130">
        <v>12.975</v>
      </c>
      <c r="L45" s="137">
        <f t="shared" si="6"/>
        <v>5.4999999999999716E-2</v>
      </c>
      <c r="M45" s="137">
        <f t="shared" si="18"/>
        <v>86901.7</v>
      </c>
      <c r="N45" s="127">
        <v>13.65</v>
      </c>
      <c r="O45" s="140">
        <f t="shared" si="13"/>
        <v>-50.930000000007567</v>
      </c>
      <c r="P45" s="137">
        <f t="shared" si="21"/>
        <v>86901.7</v>
      </c>
      <c r="Q45" s="137">
        <f t="shared" si="14"/>
        <v>-7.8128155258538889E-3</v>
      </c>
      <c r="R45" s="139">
        <f t="shared" si="15"/>
        <v>1.0211545236260451</v>
      </c>
      <c r="S45" s="162">
        <f t="shared" si="19"/>
        <v>2.7000000000001023E-2</v>
      </c>
      <c r="T45" s="157">
        <f t="shared" si="8"/>
        <v>7.0000000000014495E-4</v>
      </c>
      <c r="U45" s="137">
        <f t="shared" si="20"/>
        <v>86877.8</v>
      </c>
      <c r="V45" s="137">
        <f t="shared" si="22"/>
        <v>86928.73000000001</v>
      </c>
      <c r="W45" s="137">
        <f t="shared" si="16"/>
        <v>5.019271424153704E-2</v>
      </c>
      <c r="X45" s="139">
        <f t="shared" si="17"/>
        <v>1.0225584480614787</v>
      </c>
      <c r="AA45" s="128">
        <v>13.002000000000001</v>
      </c>
      <c r="AB45" s="130">
        <v>12.975</v>
      </c>
      <c r="AC45" s="127">
        <v>13.65</v>
      </c>
    </row>
    <row r="46" spans="1:29" x14ac:dyDescent="0.3">
      <c r="A46" s="134">
        <v>44869</v>
      </c>
      <c r="B46" s="134">
        <v>45292</v>
      </c>
      <c r="C46" s="135">
        <f>NETWORKDAYS(A46,B46-1,Feriados!$A$2:$A$2000)</f>
        <v>289</v>
      </c>
      <c r="D46" s="128">
        <v>12.966699999999999</v>
      </c>
      <c r="E46" s="137">
        <f t="shared" si="4"/>
        <v>-3.5300000000001219E-2</v>
      </c>
      <c r="F46" s="138">
        <f t="shared" si="0"/>
        <v>869.51101500000004</v>
      </c>
      <c r="G46" s="137">
        <f t="shared" si="10"/>
        <v>86951.1</v>
      </c>
      <c r="H46" s="137">
        <f t="shared" si="11"/>
        <v>8.4371381411596502E-2</v>
      </c>
      <c r="I46" s="139">
        <f t="shared" si="12"/>
        <v>1.0225010895172806</v>
      </c>
      <c r="J46" s="134">
        <f t="shared" si="5"/>
        <v>45293</v>
      </c>
      <c r="K46" s="130">
        <v>12.94</v>
      </c>
      <c r="L46" s="137">
        <f t="shared" si="6"/>
        <v>-3.5000000000000142E-2</v>
      </c>
      <c r="M46" s="137">
        <f t="shared" si="18"/>
        <v>86974.68</v>
      </c>
      <c r="N46" s="127">
        <v>13.65</v>
      </c>
      <c r="O46" s="140">
        <f t="shared" si="13"/>
        <v>28.839999999996508</v>
      </c>
      <c r="P46" s="137">
        <f t="shared" si="21"/>
        <v>86974.68</v>
      </c>
      <c r="Q46" s="137">
        <f t="shared" si="14"/>
        <v>8.3979945156409386E-2</v>
      </c>
      <c r="R46" s="139">
        <f t="shared" si="15"/>
        <v>1.0220120886349484</v>
      </c>
      <c r="S46" s="162">
        <f t="shared" si="19"/>
        <v>2.6699999999999946E-2</v>
      </c>
      <c r="T46" s="157">
        <f t="shared" si="8"/>
        <v>-3.0000000000107718E-4</v>
      </c>
      <c r="U46" s="137">
        <f t="shared" si="20"/>
        <v>86951.1</v>
      </c>
      <c r="V46" s="137">
        <f t="shared" si="22"/>
        <v>86922.260000000009</v>
      </c>
      <c r="W46" s="137">
        <f t="shared" si="16"/>
        <v>5.1175329025365812E-2</v>
      </c>
      <c r="X46" s="139">
        <f t="shared" si="17"/>
        <v>1.0230817457117507</v>
      </c>
      <c r="AA46" s="128">
        <v>12.966699999999999</v>
      </c>
      <c r="AB46" s="130">
        <v>12.94</v>
      </c>
      <c r="AC46" s="127">
        <v>13.65</v>
      </c>
    </row>
    <row r="47" spans="1:29" x14ac:dyDescent="0.3">
      <c r="A47" s="134">
        <v>44872</v>
      </c>
      <c r="B47" s="134">
        <v>45292</v>
      </c>
      <c r="C47" s="135">
        <f>NETWORKDAYS(A47,B47-1,Feriados!$A$2:$A$2000)</f>
        <v>288</v>
      </c>
      <c r="D47" s="128">
        <v>13.061299999999999</v>
      </c>
      <c r="E47" s="137">
        <f t="shared" si="4"/>
        <v>9.4599999999999795E-2</v>
      </c>
      <c r="F47" s="138">
        <f t="shared" si="0"/>
        <v>869.09998599999994</v>
      </c>
      <c r="G47" s="137">
        <f t="shared" si="10"/>
        <v>86910</v>
      </c>
      <c r="H47" s="137">
        <f t="shared" si="11"/>
        <v>-4.7267947156515167E-2</v>
      </c>
      <c r="I47" s="139">
        <f t="shared" si="12"/>
        <v>1.0220177742426129</v>
      </c>
      <c r="J47" s="134">
        <f t="shared" si="5"/>
        <v>45293</v>
      </c>
      <c r="K47" s="130">
        <v>13.035</v>
      </c>
      <c r="L47" s="137">
        <f t="shared" si="6"/>
        <v>9.5000000000000639E-2</v>
      </c>
      <c r="M47" s="137">
        <f t="shared" si="18"/>
        <v>86933.11</v>
      </c>
      <c r="N47" s="127">
        <v>13.65</v>
      </c>
      <c r="O47" s="140">
        <f t="shared" si="13"/>
        <v>-85.740000000005239</v>
      </c>
      <c r="P47" s="137">
        <f t="shared" si="21"/>
        <v>86933.11</v>
      </c>
      <c r="Q47" s="137">
        <f t="shared" si="14"/>
        <v>-4.7795519339643988E-2</v>
      </c>
      <c r="R47" s="139">
        <f t="shared" si="15"/>
        <v>1.0215236126494713</v>
      </c>
      <c r="S47" s="162">
        <f t="shared" si="19"/>
        <v>2.6299999999999102E-2</v>
      </c>
      <c r="T47" s="157">
        <f t="shared" si="8"/>
        <v>-4.0000000000084412E-4</v>
      </c>
      <c r="U47" s="137">
        <f t="shared" si="20"/>
        <v>86910</v>
      </c>
      <c r="V47" s="137">
        <f t="shared" si="22"/>
        <v>86995.74</v>
      </c>
      <c r="W47" s="137">
        <f t="shared" si="16"/>
        <v>5.1339200999178658E-2</v>
      </c>
      <c r="X47" s="139">
        <f t="shared" si="17"/>
        <v>1.0236069877055676</v>
      </c>
      <c r="AA47" s="128">
        <v>13.061299999999999</v>
      </c>
      <c r="AB47" s="130">
        <v>13.035</v>
      </c>
      <c r="AC47" s="127">
        <v>13.65</v>
      </c>
    </row>
    <row r="48" spans="1:29" x14ac:dyDescent="0.3">
      <c r="A48" s="134">
        <v>44873</v>
      </c>
      <c r="B48" s="134">
        <v>45292</v>
      </c>
      <c r="C48" s="135">
        <f>NETWORKDAYS(A48,B48-1,Feriados!$A$2:$A$2000)</f>
        <v>287</v>
      </c>
      <c r="D48" s="128">
        <v>13.081099999999999</v>
      </c>
      <c r="E48" s="137">
        <f t="shared" si="4"/>
        <v>1.980000000000004E-2</v>
      </c>
      <c r="F48" s="138">
        <f t="shared" si="0"/>
        <v>869.35007099999996</v>
      </c>
      <c r="G48" s="137">
        <f t="shared" si="10"/>
        <v>86935.01</v>
      </c>
      <c r="H48" s="137">
        <f t="shared" si="11"/>
        <v>2.8776895639159861E-2</v>
      </c>
      <c r="I48" s="139">
        <f t="shared" si="12"/>
        <v>1.0223118792309203</v>
      </c>
      <c r="J48" s="134">
        <f t="shared" si="5"/>
        <v>45293</v>
      </c>
      <c r="K48" s="130">
        <v>13.055</v>
      </c>
      <c r="L48" s="137">
        <f t="shared" si="6"/>
        <v>1.9999999999999574E-2</v>
      </c>
      <c r="M48" s="137">
        <f t="shared" si="18"/>
        <v>86957.86</v>
      </c>
      <c r="N48" s="127">
        <v>13.65</v>
      </c>
      <c r="O48" s="140">
        <f t="shared" si="13"/>
        <v>-19.399999999994179</v>
      </c>
      <c r="P48" s="137">
        <f t="shared" si="21"/>
        <v>86957.86</v>
      </c>
      <c r="Q48" s="137">
        <f t="shared" si="14"/>
        <v>2.8470165164917738E-2</v>
      </c>
      <c r="R48" s="139">
        <f t="shared" si="15"/>
        <v>1.0218144421091913</v>
      </c>
      <c r="S48" s="162">
        <f t="shared" si="19"/>
        <v>2.6099999999999568E-2</v>
      </c>
      <c r="T48" s="157">
        <f t="shared" si="8"/>
        <v>-1.9999999999953388E-4</v>
      </c>
      <c r="U48" s="137">
        <f t="shared" si="20"/>
        <v>86935.01</v>
      </c>
      <c r="V48" s="137">
        <f t="shared" si="22"/>
        <v>86954.409999999989</v>
      </c>
      <c r="W48" s="137">
        <f t="shared" si="16"/>
        <v>5.1098837878260639E-2</v>
      </c>
      <c r="X48" s="139">
        <f t="shared" si="17"/>
        <v>1.0241300389807257</v>
      </c>
      <c r="AA48" s="128">
        <v>13.081099999999999</v>
      </c>
      <c r="AB48" s="130">
        <v>13.055</v>
      </c>
      <c r="AC48" s="127">
        <v>13.65</v>
      </c>
    </row>
    <row r="49" spans="1:29" x14ac:dyDescent="0.3">
      <c r="A49" s="134">
        <v>44874</v>
      </c>
      <c r="B49" s="134">
        <v>45292</v>
      </c>
      <c r="C49" s="135">
        <f>NETWORKDAYS(A49,B49-1,Feriados!$A$2:$A$2000)</f>
        <v>286</v>
      </c>
      <c r="D49" s="128">
        <v>13.0761</v>
      </c>
      <c r="E49" s="137">
        <f t="shared" si="4"/>
        <v>-4.9999999999990052E-3</v>
      </c>
      <c r="F49" s="138">
        <f t="shared" si="0"/>
        <v>869.81792499999995</v>
      </c>
      <c r="G49" s="137">
        <f t="shared" si="10"/>
        <v>86981.79</v>
      </c>
      <c r="H49" s="137">
        <f t="shared" si="11"/>
        <v>5.3810311863999871E-2</v>
      </c>
      <c r="I49" s="139">
        <f t="shared" si="12"/>
        <v>1.0228619884413572</v>
      </c>
      <c r="J49" s="134">
        <f t="shared" si="5"/>
        <v>45293</v>
      </c>
      <c r="K49" s="130">
        <v>13.05</v>
      </c>
      <c r="L49" s="137">
        <f t="shared" si="6"/>
        <v>-4.9999999999990052E-3</v>
      </c>
      <c r="M49" s="137">
        <f t="shared" si="18"/>
        <v>87004.58</v>
      </c>
      <c r="N49" s="127">
        <v>13.65</v>
      </c>
      <c r="O49" s="140">
        <f t="shared" si="13"/>
        <v>2.5599999999976717</v>
      </c>
      <c r="P49" s="137">
        <f t="shared" si="21"/>
        <v>87004.58</v>
      </c>
      <c r="Q49" s="137">
        <f t="shared" si="14"/>
        <v>5.3727173138806705E-2</v>
      </c>
      <c r="R49" s="139">
        <f t="shared" si="15"/>
        <v>1.0223634341236605</v>
      </c>
      <c r="S49" s="162">
        <f t="shared" si="19"/>
        <v>2.6099999999999568E-2</v>
      </c>
      <c r="T49" s="157">
        <f t="shared" si="8"/>
        <v>0</v>
      </c>
      <c r="U49" s="137">
        <f t="shared" si="20"/>
        <v>86981.79</v>
      </c>
      <c r="V49" s="137">
        <f t="shared" si="22"/>
        <v>86979.23</v>
      </c>
      <c r="W49" s="137">
        <f t="shared" si="16"/>
        <v>5.0865583382342372E-2</v>
      </c>
      <c r="X49" s="139">
        <f t="shared" si="17"/>
        <v>1.024650968699647</v>
      </c>
      <c r="AA49" s="128">
        <v>13.0761</v>
      </c>
      <c r="AB49" s="130">
        <v>13.05</v>
      </c>
      <c r="AC49" s="127">
        <v>13.65</v>
      </c>
    </row>
    <row r="50" spans="1:29" x14ac:dyDescent="0.3">
      <c r="A50" s="134">
        <v>44875</v>
      </c>
      <c r="B50" s="134">
        <v>45292</v>
      </c>
      <c r="C50" s="135">
        <f>NETWORKDAYS(A50,B50-1,Feriados!$A$2:$A$2000)</f>
        <v>285</v>
      </c>
      <c r="D50" s="128">
        <v>13.647500000000001</v>
      </c>
      <c r="E50" s="137">
        <f t="shared" si="4"/>
        <v>0.57140000000000057</v>
      </c>
      <c r="F50" s="138">
        <f t="shared" si="0"/>
        <v>865.29543699999999</v>
      </c>
      <c r="G50" s="137">
        <f t="shared" si="10"/>
        <v>86529.54</v>
      </c>
      <c r="H50" s="137">
        <f t="shared" si="11"/>
        <v>-0.51993641427705573</v>
      </c>
      <c r="I50" s="139">
        <f t="shared" si="12"/>
        <v>1.0175437564956522</v>
      </c>
      <c r="J50" s="134">
        <f t="shared" si="5"/>
        <v>45293</v>
      </c>
      <c r="K50" s="130">
        <v>13.63</v>
      </c>
      <c r="L50" s="137">
        <f t="shared" si="6"/>
        <v>0.58000000000000007</v>
      </c>
      <c r="M50" s="137">
        <f t="shared" si="18"/>
        <v>86544.62</v>
      </c>
      <c r="N50" s="127">
        <v>13.65</v>
      </c>
      <c r="O50" s="140">
        <f t="shared" si="13"/>
        <v>-504.15000000000873</v>
      </c>
      <c r="P50" s="137">
        <f t="shared" si="21"/>
        <v>86544.62</v>
      </c>
      <c r="Q50" s="137">
        <f t="shared" si="14"/>
        <v>-0.52866182446947851</v>
      </c>
      <c r="R50" s="139">
        <f t="shared" si="15"/>
        <v>1.0169585889401136</v>
      </c>
      <c r="S50" s="162">
        <f t="shared" si="19"/>
        <v>1.7500000000000071E-2</v>
      </c>
      <c r="T50" s="157">
        <f t="shared" si="8"/>
        <v>-8.5999999999994969E-3</v>
      </c>
      <c r="U50" s="137">
        <f t="shared" si="20"/>
        <v>86529.54</v>
      </c>
      <c r="V50" s="137">
        <f t="shared" si="22"/>
        <v>87033.69</v>
      </c>
      <c r="W50" s="137">
        <f t="shared" si="16"/>
        <v>5.9667661472606603E-2</v>
      </c>
      <c r="X50" s="139">
        <f t="shared" si="17"/>
        <v>1.0252623539709265</v>
      </c>
      <c r="AA50" s="128">
        <v>13.647500000000001</v>
      </c>
      <c r="AB50" s="130">
        <v>13.63</v>
      </c>
      <c r="AC50" s="127">
        <v>13.65</v>
      </c>
    </row>
    <row r="51" spans="1:29" x14ac:dyDescent="0.3">
      <c r="A51" s="134">
        <v>44876</v>
      </c>
      <c r="B51" s="134">
        <v>45292</v>
      </c>
      <c r="C51" s="135">
        <f>NETWORKDAYS(A51,B51-1,Feriados!$A$2:$A$2000)</f>
        <v>284</v>
      </c>
      <c r="D51" s="128">
        <v>13.936299999999999</v>
      </c>
      <c r="E51" s="137">
        <f t="shared" si="4"/>
        <v>0.28879999999999839</v>
      </c>
      <c r="F51" s="138">
        <f t="shared" si="0"/>
        <v>863.26214900000002</v>
      </c>
      <c r="G51" s="137">
        <f t="shared" si="10"/>
        <v>86326.21</v>
      </c>
      <c r="H51" s="137">
        <f t="shared" si="11"/>
        <v>-0.23498333632651081</v>
      </c>
      <c r="I51" s="139">
        <f t="shared" si="12"/>
        <v>1.0151526982280565</v>
      </c>
      <c r="J51" s="134">
        <f t="shared" si="5"/>
        <v>45293</v>
      </c>
      <c r="K51" s="130">
        <v>13.92</v>
      </c>
      <c r="L51" s="137">
        <f t="shared" si="6"/>
        <v>0.28999999999999915</v>
      </c>
      <c r="M51" s="137">
        <f t="shared" si="18"/>
        <v>86340.14</v>
      </c>
      <c r="N51" s="127">
        <v>13.65</v>
      </c>
      <c r="O51" s="140">
        <f t="shared" si="13"/>
        <v>-248.43000000000757</v>
      </c>
      <c r="P51" s="137">
        <f t="shared" si="21"/>
        <v>86340.14</v>
      </c>
      <c r="Q51" s="137">
        <f t="shared" si="14"/>
        <v>-0.23627118589231166</v>
      </c>
      <c r="R51" s="139">
        <f t="shared" si="15"/>
        <v>1.014555808821991</v>
      </c>
      <c r="S51" s="162">
        <f t="shared" si="19"/>
        <v>1.6299999999999315E-2</v>
      </c>
      <c r="T51" s="157">
        <f t="shared" si="8"/>
        <v>-1.200000000000756E-3</v>
      </c>
      <c r="U51" s="137">
        <f t="shared" si="20"/>
        <v>86326.21</v>
      </c>
      <c r="V51" s="137">
        <f t="shared" si="22"/>
        <v>86574.640000000014</v>
      </c>
      <c r="W51" s="137">
        <f t="shared" si="16"/>
        <v>5.212092887587616E-2</v>
      </c>
      <c r="X51" s="139">
        <f t="shared" si="17"/>
        <v>1.0257967302332307</v>
      </c>
      <c r="AA51" s="128">
        <v>13.936299999999999</v>
      </c>
      <c r="AB51" s="130">
        <v>13.92</v>
      </c>
      <c r="AC51" s="127">
        <v>13.65</v>
      </c>
    </row>
    <row r="52" spans="1:29" x14ac:dyDescent="0.3">
      <c r="A52" s="134">
        <v>44879</v>
      </c>
      <c r="B52" s="134">
        <v>45292</v>
      </c>
      <c r="C52" s="135">
        <f>NETWORKDAYS(A52,B52-1,Feriados!$A$2:$A$2000)</f>
        <v>283</v>
      </c>
      <c r="D52" s="128">
        <v>13.766999999999999</v>
      </c>
      <c r="E52" s="137">
        <f t="shared" si="4"/>
        <v>-0.16929999999999978</v>
      </c>
      <c r="F52" s="138">
        <f t="shared" si="0"/>
        <v>865.15276300000005</v>
      </c>
      <c r="G52" s="137">
        <f t="shared" si="10"/>
        <v>86515.28</v>
      </c>
      <c r="H52" s="137">
        <f t="shared" si="11"/>
        <v>0.21901807110493721</v>
      </c>
      <c r="I52" s="139">
        <f t="shared" si="12"/>
        <v>1.0173760660864855</v>
      </c>
      <c r="J52" s="134">
        <f t="shared" si="5"/>
        <v>45293</v>
      </c>
      <c r="K52" s="130">
        <v>13.75</v>
      </c>
      <c r="L52" s="137">
        <f t="shared" si="6"/>
        <v>-0.16999999999999993</v>
      </c>
      <c r="M52" s="137">
        <f t="shared" si="18"/>
        <v>86529.8</v>
      </c>
      <c r="N52" s="127">
        <v>13.65</v>
      </c>
      <c r="O52" s="140">
        <f t="shared" si="13"/>
        <v>145.80999999999767</v>
      </c>
      <c r="P52" s="137">
        <f t="shared" si="21"/>
        <v>86529.8</v>
      </c>
      <c r="Q52" s="137">
        <f t="shared" si="14"/>
        <v>0.21966607883656675</v>
      </c>
      <c r="R52" s="139">
        <f t="shared" si="15"/>
        <v>1.016784443784839</v>
      </c>
      <c r="S52" s="162">
        <f t="shared" si="19"/>
        <v>1.699999999999946E-2</v>
      </c>
      <c r="T52" s="157">
        <f t="shared" si="8"/>
        <v>7.0000000000014495E-4</v>
      </c>
      <c r="U52" s="137">
        <f t="shared" si="20"/>
        <v>86515.28</v>
      </c>
      <c r="V52" s="137">
        <f t="shared" si="22"/>
        <v>86369.47</v>
      </c>
      <c r="W52" s="137">
        <f t="shared" si="16"/>
        <v>5.0112242851851896E-2</v>
      </c>
      <c r="X52" s="139">
        <f t="shared" si="17"/>
        <v>1.0263107799818516</v>
      </c>
      <c r="AA52" s="128">
        <v>13.766999999999999</v>
      </c>
      <c r="AB52" s="130">
        <v>13.75</v>
      </c>
      <c r="AC52" s="127">
        <v>13.65</v>
      </c>
    </row>
    <row r="53" spans="1:29" x14ac:dyDescent="0.3">
      <c r="A53" s="134">
        <v>44881</v>
      </c>
      <c r="B53" s="134">
        <v>45292</v>
      </c>
      <c r="C53" s="135">
        <f>NETWORKDAYS(A53,B53-1,Feriados!$A$2:$A$2000)</f>
        <v>282</v>
      </c>
      <c r="D53" s="128">
        <v>14.0915</v>
      </c>
      <c r="E53" s="137">
        <f t="shared" si="4"/>
        <v>0.32450000000000045</v>
      </c>
      <c r="F53" s="138">
        <f t="shared" si="0"/>
        <v>862.84113600000001</v>
      </c>
      <c r="G53" s="137">
        <f t="shared" si="10"/>
        <v>86284.11</v>
      </c>
      <c r="H53" s="137">
        <f t="shared" si="11"/>
        <v>-0.26720135448905502</v>
      </c>
      <c r="I53" s="139">
        <f t="shared" si="12"/>
        <v>1.014657623457655</v>
      </c>
      <c r="J53" s="134">
        <f t="shared" si="5"/>
        <v>45293</v>
      </c>
      <c r="K53" s="130">
        <v>14.08</v>
      </c>
      <c r="L53" s="137">
        <f t="shared" si="6"/>
        <v>0.33000000000000007</v>
      </c>
      <c r="M53" s="137">
        <f t="shared" si="18"/>
        <v>86293.85</v>
      </c>
      <c r="N53" s="127">
        <v>13.65</v>
      </c>
      <c r="O53" s="140">
        <f t="shared" si="13"/>
        <v>-279.89999999999418</v>
      </c>
      <c r="P53" s="137">
        <f t="shared" si="21"/>
        <v>86293.85</v>
      </c>
      <c r="Q53" s="137">
        <f t="shared" si="14"/>
        <v>-0.27268062563416962</v>
      </c>
      <c r="R53" s="139">
        <f t="shared" si="15"/>
        <v>1.0140118696021756</v>
      </c>
      <c r="S53" s="162">
        <f t="shared" si="19"/>
        <v>1.1499999999999844E-2</v>
      </c>
      <c r="T53" s="157">
        <f t="shared" si="8"/>
        <v>-5.4999999999996163E-3</v>
      </c>
      <c r="U53" s="137">
        <f t="shared" si="20"/>
        <v>86284.11</v>
      </c>
      <c r="V53" s="137">
        <f t="shared" si="22"/>
        <v>86564.01</v>
      </c>
      <c r="W53" s="137">
        <f t="shared" si="16"/>
        <v>5.6325310396032613E-2</v>
      </c>
      <c r="X53" s="139">
        <f t="shared" si="17"/>
        <v>1.0268888527143043</v>
      </c>
      <c r="AA53" s="128">
        <v>14.0915</v>
      </c>
      <c r="AB53" s="130">
        <v>14.08</v>
      </c>
      <c r="AC53" s="127">
        <v>13.65</v>
      </c>
    </row>
    <row r="54" spans="1:29" x14ac:dyDescent="0.3">
      <c r="A54" s="134">
        <v>44882</v>
      </c>
      <c r="B54" s="134">
        <v>45292</v>
      </c>
      <c r="C54" s="135">
        <f>NETWORKDAYS(A54,B54-1,Feriados!$A$2:$A$2000)</f>
        <v>281</v>
      </c>
      <c r="D54" s="128">
        <v>14.16</v>
      </c>
      <c r="E54" s="137">
        <f t="shared" si="4"/>
        <v>6.8500000000000227E-2</v>
      </c>
      <c r="F54" s="138">
        <f t="shared" si="0"/>
        <v>862.71504100000004</v>
      </c>
      <c r="G54" s="137">
        <f t="shared" si="10"/>
        <v>86271.5</v>
      </c>
      <c r="H54" s="137">
        <f t="shared" si="11"/>
        <v>-1.4614510134025593E-2</v>
      </c>
      <c r="I54" s="139">
        <f t="shared" si="12"/>
        <v>1.014509336216449</v>
      </c>
      <c r="J54" s="134">
        <f t="shared" si="5"/>
        <v>45293</v>
      </c>
      <c r="K54" s="130">
        <v>14.15</v>
      </c>
      <c r="L54" s="137">
        <f t="shared" si="6"/>
        <v>7.0000000000000284E-2</v>
      </c>
      <c r="M54" s="137">
        <f t="shared" si="18"/>
        <v>86279.93</v>
      </c>
      <c r="N54" s="127">
        <v>13.65</v>
      </c>
      <c r="O54" s="140">
        <f t="shared" si="13"/>
        <v>-57.75</v>
      </c>
      <c r="P54" s="137">
        <f t="shared" si="21"/>
        <v>86279.93</v>
      </c>
      <c r="Q54" s="137">
        <f t="shared" si="14"/>
        <v>-1.6130929376789727E-2</v>
      </c>
      <c r="R54" s="139">
        <f t="shared" si="15"/>
        <v>1.0138483000636178</v>
      </c>
      <c r="S54" s="162">
        <f t="shared" si="19"/>
        <v>9.9999999999997868E-3</v>
      </c>
      <c r="T54" s="157">
        <f t="shared" si="8"/>
        <v>-1.5000000000000568E-3</v>
      </c>
      <c r="U54" s="137">
        <f t="shared" si="20"/>
        <v>86271.5</v>
      </c>
      <c r="V54" s="137">
        <f t="shared" si="22"/>
        <v>86329.25</v>
      </c>
      <c r="W54" s="137">
        <f t="shared" si="16"/>
        <v>5.231554222440149E-2</v>
      </c>
      <c r="X54" s="139">
        <f t="shared" si="17"/>
        <v>1.0274260751856437</v>
      </c>
      <c r="AA54" s="128">
        <v>14.16</v>
      </c>
      <c r="AB54" s="130">
        <v>14.15</v>
      </c>
      <c r="AC54" s="127">
        <v>13.65</v>
      </c>
    </row>
    <row r="55" spans="1:29" x14ac:dyDescent="0.3">
      <c r="A55" s="134">
        <v>44883</v>
      </c>
      <c r="B55" s="134">
        <v>45292</v>
      </c>
      <c r="C55" s="135">
        <f>NETWORKDAYS(A55,B55-1,Feriados!$A$2:$A$2000)</f>
        <v>280</v>
      </c>
      <c r="D55" s="128">
        <v>14.355</v>
      </c>
      <c r="E55" s="137">
        <f t="shared" si="4"/>
        <v>0.19500000000000028</v>
      </c>
      <c r="F55" s="138">
        <f t="shared" si="0"/>
        <v>861.53325600000005</v>
      </c>
      <c r="G55" s="137">
        <f t="shared" si="10"/>
        <v>86153.33</v>
      </c>
      <c r="H55" s="137">
        <f t="shared" si="11"/>
        <v>-0.13697455127127389</v>
      </c>
      <c r="I55" s="139">
        <f t="shared" si="12"/>
        <v>1.0131197166055614</v>
      </c>
      <c r="J55" s="134">
        <f t="shared" si="5"/>
        <v>45293</v>
      </c>
      <c r="K55" s="130">
        <v>14.335000000000001</v>
      </c>
      <c r="L55" s="137">
        <f t="shared" si="6"/>
        <v>0.1850000000000005</v>
      </c>
      <c r="M55" s="137">
        <f t="shared" si="18"/>
        <v>86170.07</v>
      </c>
      <c r="N55" s="127">
        <v>13.65</v>
      </c>
      <c r="O55" s="140">
        <f t="shared" si="13"/>
        <v>-153.67999999999302</v>
      </c>
      <c r="P55" s="137">
        <f t="shared" si="21"/>
        <v>86170.07</v>
      </c>
      <c r="Q55" s="137">
        <f t="shared" si="14"/>
        <v>-0.12732972778256579</v>
      </c>
      <c r="R55" s="139">
        <f t="shared" si="15"/>
        <v>1.0125573697830186</v>
      </c>
      <c r="S55" s="162">
        <f t="shared" si="19"/>
        <v>1.9999999999999574E-2</v>
      </c>
      <c r="T55" s="157">
        <f t="shared" si="8"/>
        <v>9.9999999999997868E-3</v>
      </c>
      <c r="U55" s="137">
        <f t="shared" si="20"/>
        <v>86153.33</v>
      </c>
      <c r="V55" s="137">
        <f t="shared" si="22"/>
        <v>86307.01</v>
      </c>
      <c r="W55" s="137">
        <f t="shared" si="16"/>
        <v>4.1160754130853405E-2</v>
      </c>
      <c r="X55" s="139">
        <f t="shared" si="17"/>
        <v>1.027848971506327</v>
      </c>
      <c r="AA55" s="128">
        <v>14.355</v>
      </c>
      <c r="AB55" s="130">
        <v>14.335000000000001</v>
      </c>
      <c r="AC55" s="127">
        <v>13.65</v>
      </c>
    </row>
    <row r="56" spans="1:29" x14ac:dyDescent="0.3">
      <c r="A56" s="134">
        <v>44886</v>
      </c>
      <c r="B56" s="134">
        <v>45292</v>
      </c>
      <c r="C56" s="135">
        <f>NETWORKDAYS(A56,B56-1,Feriados!$A$2:$A$2000)</f>
        <v>279</v>
      </c>
      <c r="D56" s="128">
        <v>14.286</v>
      </c>
      <c r="E56" s="137">
        <f t="shared" si="4"/>
        <v>-6.9000000000000838E-2</v>
      </c>
      <c r="F56" s="138">
        <f t="shared" si="0"/>
        <v>862.56817000000001</v>
      </c>
      <c r="G56" s="137">
        <f t="shared" si="10"/>
        <v>86256.82</v>
      </c>
      <c r="H56" s="137">
        <f t="shared" si="11"/>
        <v>0.12012304109429994</v>
      </c>
      <c r="I56" s="139">
        <f t="shared" si="12"/>
        <v>1.0143367068190741</v>
      </c>
      <c r="J56" s="134">
        <f t="shared" si="5"/>
        <v>45293</v>
      </c>
      <c r="K56" s="130">
        <v>14.26</v>
      </c>
      <c r="L56" s="137">
        <f t="shared" si="6"/>
        <v>-7.5000000000001066E-2</v>
      </c>
      <c r="M56" s="137">
        <f t="shared" si="18"/>
        <v>86278.55</v>
      </c>
      <c r="N56" s="127">
        <v>13.65</v>
      </c>
      <c r="O56" s="140">
        <f t="shared" si="13"/>
        <v>64.720000000001164</v>
      </c>
      <c r="P56" s="137">
        <f t="shared" si="21"/>
        <v>86278.55</v>
      </c>
      <c r="Q56" s="137">
        <f t="shared" si="14"/>
        <v>0.12589057894463185</v>
      </c>
      <c r="R56" s="139">
        <f t="shared" si="15"/>
        <v>1.0138320841179849</v>
      </c>
      <c r="S56" s="162">
        <f t="shared" si="19"/>
        <v>2.5999999999999801E-2</v>
      </c>
      <c r="T56" s="157">
        <f t="shared" si="8"/>
        <v>6.0000000000002274E-3</v>
      </c>
      <c r="U56" s="137">
        <f t="shared" si="20"/>
        <v>86256.82</v>
      </c>
      <c r="V56" s="137">
        <f t="shared" si="22"/>
        <v>86192.1</v>
      </c>
      <c r="W56" s="137">
        <f t="shared" si="16"/>
        <v>4.5001162462332545E-2</v>
      </c>
      <c r="X56" s="139">
        <f t="shared" si="17"/>
        <v>1.0283115154918621</v>
      </c>
      <c r="AA56" s="128">
        <v>14.286</v>
      </c>
      <c r="AB56" s="130">
        <v>14.26</v>
      </c>
      <c r="AC56" s="127">
        <v>13.65</v>
      </c>
    </row>
    <row r="57" spans="1:29" x14ac:dyDescent="0.3">
      <c r="A57" s="134">
        <v>44887</v>
      </c>
      <c r="B57" s="136">
        <v>45292</v>
      </c>
      <c r="C57" s="135">
        <f>NETWORKDAYS(A57,B57-1,Feriados!$A$2:$A$2000)</f>
        <v>278</v>
      </c>
      <c r="D57" s="129">
        <v>14.404999999999999</v>
      </c>
      <c r="E57" s="137">
        <f t="shared" si="4"/>
        <v>0.11899999999999977</v>
      </c>
      <c r="F57" s="138">
        <f t="shared" si="0"/>
        <v>862.03510900000003</v>
      </c>
      <c r="G57" s="137">
        <f t="shared" si="10"/>
        <v>86203.51</v>
      </c>
      <c r="H57" s="137">
        <f t="shared" si="11"/>
        <v>-6.1803808672766802E-2</v>
      </c>
      <c r="I57" s="139">
        <f t="shared" si="12"/>
        <v>1.0137098081014939</v>
      </c>
      <c r="J57" s="134">
        <f t="shared" si="5"/>
        <v>45293</v>
      </c>
      <c r="K57" s="130">
        <v>14.38</v>
      </c>
      <c r="L57" s="137">
        <f t="shared" si="6"/>
        <v>0.12000000000000099</v>
      </c>
      <c r="M57" s="137">
        <f t="shared" si="18"/>
        <v>86224.3</v>
      </c>
      <c r="N57" s="127">
        <v>13.65</v>
      </c>
      <c r="O57" s="140">
        <f t="shared" si="13"/>
        <v>-98.069999999992433</v>
      </c>
      <c r="P57" s="137">
        <f t="shared" si="21"/>
        <v>86224.3</v>
      </c>
      <c r="Q57" s="137">
        <f t="shared" si="14"/>
        <v>-6.2877737282329704E-2</v>
      </c>
      <c r="R57" s="139">
        <f t="shared" si="15"/>
        <v>1.0131946094436493</v>
      </c>
      <c r="S57" s="162">
        <f t="shared" si="19"/>
        <v>2.4999999999998579E-2</v>
      </c>
      <c r="T57" s="157">
        <f t="shared" si="8"/>
        <v>-1.0000000000012221E-3</v>
      </c>
      <c r="U57" s="137">
        <f t="shared" si="20"/>
        <v>86203.51</v>
      </c>
      <c r="V57" s="137">
        <f t="shared" si="22"/>
        <v>86301.579999999987</v>
      </c>
      <c r="W57" s="137">
        <f t="shared" si="16"/>
        <v>5.1891548981264357E-2</v>
      </c>
      <c r="X57" s="139">
        <f t="shared" si="17"/>
        <v>1.0288451222656034</v>
      </c>
      <c r="AA57" s="129">
        <v>14.404999999999999</v>
      </c>
      <c r="AB57" s="130">
        <v>14.38</v>
      </c>
      <c r="AC57" s="127">
        <v>13.65</v>
      </c>
    </row>
    <row r="58" spans="1:29" x14ac:dyDescent="0.3">
      <c r="A58" s="134">
        <v>44888</v>
      </c>
      <c r="B58" s="136">
        <v>45292</v>
      </c>
      <c r="C58" s="135">
        <f>NETWORKDAYS(A58,B58-1,Feriados!$A$2:$A$2000)</f>
        <v>277</v>
      </c>
      <c r="D58" s="129">
        <v>14.615</v>
      </c>
      <c r="E58" s="137">
        <f t="shared" si="4"/>
        <v>0.21000000000000085</v>
      </c>
      <c r="F58" s="138">
        <f t="shared" si="0"/>
        <v>860.75868300000002</v>
      </c>
      <c r="G58" s="137">
        <f t="shared" si="10"/>
        <v>86075.87</v>
      </c>
      <c r="H58" s="137">
        <f t="shared" si="11"/>
        <v>-0.14806821671182746</v>
      </c>
      <c r="I58" s="139">
        <f t="shared" si="12"/>
        <v>1.0122088260660052</v>
      </c>
      <c r="J58" s="134">
        <f t="shared" si="5"/>
        <v>45293</v>
      </c>
      <c r="K58" s="130">
        <v>14.585000000000001</v>
      </c>
      <c r="L58" s="137">
        <f t="shared" si="6"/>
        <v>0.20500000000000007</v>
      </c>
      <c r="M58" s="137">
        <f t="shared" si="18"/>
        <v>86100.64</v>
      </c>
      <c r="N58" s="127">
        <v>13.65</v>
      </c>
      <c r="O58" s="140">
        <f t="shared" si="13"/>
        <v>-167.44999999999709</v>
      </c>
      <c r="P58" s="137">
        <f t="shared" si="21"/>
        <v>86100.64</v>
      </c>
      <c r="Q58" s="137">
        <f t="shared" si="14"/>
        <v>-0.14341664704730084</v>
      </c>
      <c r="R58" s="139">
        <f t="shared" si="15"/>
        <v>1.0117415197067212</v>
      </c>
      <c r="S58" s="162">
        <f t="shared" si="19"/>
        <v>2.9999999999999361E-2</v>
      </c>
      <c r="T58" s="157">
        <f t="shared" si="8"/>
        <v>5.0000000000007816E-3</v>
      </c>
      <c r="U58" s="137">
        <f t="shared" si="20"/>
        <v>86075.87</v>
      </c>
      <c r="V58" s="137">
        <f t="shared" si="22"/>
        <v>86243.319999999992</v>
      </c>
      <c r="W58" s="137">
        <f t="shared" si="16"/>
        <v>4.6181414190682446E-2</v>
      </c>
      <c r="X58" s="139">
        <f t="shared" si="17"/>
        <v>1.0293202574928975</v>
      </c>
      <c r="AA58" s="129">
        <v>14.615</v>
      </c>
      <c r="AB58" s="130">
        <v>14.585000000000001</v>
      </c>
      <c r="AC58" s="127">
        <v>13.65</v>
      </c>
    </row>
    <row r="59" spans="1:29" x14ac:dyDescent="0.3">
      <c r="A59" s="134">
        <v>44889</v>
      </c>
      <c r="B59" s="136">
        <v>45292</v>
      </c>
      <c r="C59" s="135">
        <f>NETWORKDAYS(A59,B59-1,Feriados!$A$2:$A$2000)</f>
        <v>276</v>
      </c>
      <c r="D59" s="129">
        <v>14.336499999999999</v>
      </c>
      <c r="E59" s="137">
        <f t="shared" si="4"/>
        <v>-0.27850000000000108</v>
      </c>
      <c r="F59" s="138">
        <f t="shared" si="0"/>
        <v>863.522559</v>
      </c>
      <c r="G59" s="137">
        <f t="shared" si="10"/>
        <v>86352.26</v>
      </c>
      <c r="H59" s="137">
        <f t="shared" si="11"/>
        <v>0.32110044313231612</v>
      </c>
      <c r="I59" s="139">
        <f t="shared" si="12"/>
        <v>1.0154590330919275</v>
      </c>
      <c r="J59" s="134">
        <f t="shared" si="5"/>
        <v>45293</v>
      </c>
      <c r="K59" s="130">
        <v>14.31</v>
      </c>
      <c r="L59" s="137">
        <f t="shared" si="6"/>
        <v>-0.27500000000000036</v>
      </c>
      <c r="M59" s="137">
        <f t="shared" si="18"/>
        <v>86374.18</v>
      </c>
      <c r="N59" s="127">
        <v>13.65</v>
      </c>
      <c r="O59" s="140">
        <f t="shared" si="13"/>
        <v>229.80999999999767</v>
      </c>
      <c r="P59" s="137">
        <f t="shared" si="21"/>
        <v>86374.18</v>
      </c>
      <c r="Q59" s="137">
        <f t="shared" si="14"/>
        <v>0.31769798691390072</v>
      </c>
      <c r="R59" s="139">
        <f t="shared" si="15"/>
        <v>1.0149558021476015</v>
      </c>
      <c r="S59" s="162">
        <f t="shared" si="19"/>
        <v>2.6499999999998636E-2</v>
      </c>
      <c r="T59" s="157">
        <f t="shared" si="8"/>
        <v>-3.5000000000007248E-3</v>
      </c>
      <c r="U59" s="137">
        <f t="shared" si="20"/>
        <v>86352.26</v>
      </c>
      <c r="V59" s="137">
        <f t="shared" si="22"/>
        <v>86122.45</v>
      </c>
      <c r="W59" s="137">
        <f t="shared" si="16"/>
        <v>5.4115049897252021E-2</v>
      </c>
      <c r="X59" s="139">
        <f t="shared" si="17"/>
        <v>1.0298772746638423</v>
      </c>
      <c r="AA59" s="129">
        <v>14.336499999999999</v>
      </c>
      <c r="AB59" s="130">
        <v>14.31</v>
      </c>
      <c r="AC59" s="127">
        <v>13.65</v>
      </c>
    </row>
    <row r="60" spans="1:29" x14ac:dyDescent="0.3">
      <c r="A60" s="134">
        <v>44890</v>
      </c>
      <c r="B60" s="134">
        <v>45292</v>
      </c>
      <c r="C60" s="135">
        <f>NETWORKDAYS(A60,B60-1,Feriados!$A$2:$A$2000)</f>
        <v>275</v>
      </c>
      <c r="D60" s="128">
        <v>14.505000000000001</v>
      </c>
      <c r="E60" s="137">
        <f t="shared" si="4"/>
        <v>0.16850000000000165</v>
      </c>
      <c r="F60" s="138">
        <f t="shared" si="0"/>
        <v>862.59443199999998</v>
      </c>
      <c r="G60" s="137">
        <f t="shared" si="10"/>
        <v>86259.44</v>
      </c>
      <c r="H60" s="137">
        <f t="shared" si="11"/>
        <v>-0.10748994872860074</v>
      </c>
      <c r="I60" s="139">
        <f t="shared" si="12"/>
        <v>1.0143675166978972</v>
      </c>
      <c r="J60" s="134">
        <f t="shared" si="5"/>
        <v>45293</v>
      </c>
      <c r="K60" s="130">
        <v>14.48</v>
      </c>
      <c r="L60" s="137">
        <f t="shared" si="6"/>
        <v>0.16999999999999993</v>
      </c>
      <c r="M60" s="137">
        <f t="shared" si="18"/>
        <v>86280</v>
      </c>
      <c r="N60" s="127">
        <v>13.65</v>
      </c>
      <c r="O60" s="140">
        <f t="shared" si="13"/>
        <v>-138.05000000000291</v>
      </c>
      <c r="P60" s="137">
        <f t="shared" si="21"/>
        <v>86280</v>
      </c>
      <c r="Q60" s="137">
        <f t="shared" si="14"/>
        <v>-0.10903721459352145</v>
      </c>
      <c r="R60" s="139">
        <f t="shared" si="15"/>
        <v>1.0138491226115844</v>
      </c>
      <c r="S60" s="162">
        <f t="shared" si="19"/>
        <v>2.5000000000000355E-2</v>
      </c>
      <c r="T60" s="157">
        <f t="shared" si="8"/>
        <v>-1.4999999999982805E-3</v>
      </c>
      <c r="U60" s="137">
        <f t="shared" si="20"/>
        <v>86259.44</v>
      </c>
      <c r="V60" s="137">
        <f t="shared" si="22"/>
        <v>86397.49</v>
      </c>
      <c r="W60" s="137">
        <f t="shared" si="16"/>
        <v>5.2378478571379894E-2</v>
      </c>
      <c r="X60" s="139">
        <f t="shared" si="17"/>
        <v>1.0304167087114635</v>
      </c>
      <c r="AA60" s="128">
        <v>14.505000000000001</v>
      </c>
      <c r="AB60" s="130">
        <v>14.48</v>
      </c>
      <c r="AC60" s="127">
        <v>13.65</v>
      </c>
    </row>
    <row r="61" spans="1:29" x14ac:dyDescent="0.3">
      <c r="A61" s="134">
        <v>44893</v>
      </c>
      <c r="B61" s="134">
        <v>45292</v>
      </c>
      <c r="C61" s="135">
        <f>NETWORKDAYS(A61,B61-1,Feriados!$A$2:$A$2000)</f>
        <v>274</v>
      </c>
      <c r="D61" s="128">
        <v>14.3111</v>
      </c>
      <c r="E61" s="137">
        <f t="shared" si="4"/>
        <v>-0.19390000000000107</v>
      </c>
      <c r="F61" s="138">
        <f t="shared" ref="F61:F65" si="23">+TRUNC((1000/(1+D61/100)^(C61/252)),6)</f>
        <v>864.65008</v>
      </c>
      <c r="G61" s="137">
        <f t="shared" si="10"/>
        <v>86465.01</v>
      </c>
      <c r="H61" s="137">
        <f t="shared" si="11"/>
        <v>0.23831594547796264</v>
      </c>
      <c r="I61" s="139">
        <f t="shared" si="12"/>
        <v>1.016784916235937</v>
      </c>
      <c r="J61" s="134">
        <f t="shared" si="5"/>
        <v>45293</v>
      </c>
      <c r="K61" s="130">
        <v>14.29</v>
      </c>
      <c r="L61" s="137">
        <f t="shared" si="6"/>
        <v>-0.19000000000000128</v>
      </c>
      <c r="M61" s="137">
        <f t="shared" si="18"/>
        <v>86482.36</v>
      </c>
      <c r="N61" s="127">
        <v>13.65</v>
      </c>
      <c r="O61" s="140">
        <f t="shared" si="13"/>
        <v>158.5399999999936</v>
      </c>
      <c r="P61" s="137">
        <f t="shared" si="21"/>
        <v>86482.36</v>
      </c>
      <c r="Q61" s="137">
        <f t="shared" si="14"/>
        <v>0.2345387111729158</v>
      </c>
      <c r="R61" s="139">
        <f t="shared" si="15"/>
        <v>1.0162269912769957</v>
      </c>
      <c r="S61" s="162">
        <f t="shared" si="19"/>
        <v>2.1100000000000563E-2</v>
      </c>
      <c r="T61" s="157">
        <f t="shared" si="8"/>
        <v>-3.8999999999997925E-3</v>
      </c>
      <c r="U61" s="137">
        <f t="shared" si="20"/>
        <v>86465.01</v>
      </c>
      <c r="V61" s="137">
        <f t="shared" si="22"/>
        <v>86306.47</v>
      </c>
      <c r="W61" s="137">
        <f t="shared" si="16"/>
        <v>5.4521568885679272E-2</v>
      </c>
      <c r="X61" s="139">
        <f t="shared" si="17"/>
        <v>1.0309785080671132</v>
      </c>
      <c r="AA61" s="128">
        <v>14.3111</v>
      </c>
      <c r="AB61" s="130">
        <v>14.29</v>
      </c>
      <c r="AC61" s="127">
        <v>13.65</v>
      </c>
    </row>
    <row r="62" spans="1:29" x14ac:dyDescent="0.3">
      <c r="A62" s="134">
        <v>44894</v>
      </c>
      <c r="B62" s="134">
        <v>45292</v>
      </c>
      <c r="C62" s="135">
        <f>NETWORKDAYS(A62,B62-1,Feriados!$A$2:$A$2000)</f>
        <v>273</v>
      </c>
      <c r="D62" s="128">
        <v>13.974</v>
      </c>
      <c r="E62" s="137">
        <f t="shared" ref="E62:E65" si="24">+D62-D61</f>
        <v>-0.33709999999999951</v>
      </c>
      <c r="F62" s="138">
        <f t="shared" si="23"/>
        <v>867.88142500000004</v>
      </c>
      <c r="G62" s="137">
        <f t="shared" si="10"/>
        <v>86788.14</v>
      </c>
      <c r="H62" s="137">
        <f t="shared" si="11"/>
        <v>0.3737118633306169</v>
      </c>
      <c r="I62" s="139">
        <f t="shared" si="12"/>
        <v>1.0205847620924671</v>
      </c>
      <c r="J62" s="134">
        <f t="shared" ref="J62:J65" si="25">+J61</f>
        <v>45293</v>
      </c>
      <c r="K62" s="130">
        <v>13.965</v>
      </c>
      <c r="L62" s="137">
        <f t="shared" si="6"/>
        <v>-0.32499999999999929</v>
      </c>
      <c r="M62" s="137">
        <f t="shared" si="18"/>
        <v>86795.57</v>
      </c>
      <c r="N62" s="127">
        <v>13.65</v>
      </c>
      <c r="O62" s="140">
        <f t="shared" si="13"/>
        <v>269.29000000000815</v>
      </c>
      <c r="P62" s="137">
        <f t="shared" si="21"/>
        <v>86795.57</v>
      </c>
      <c r="Q62" s="137">
        <f t="shared" si="14"/>
        <v>0.36216634236161394</v>
      </c>
      <c r="R62" s="139">
        <f t="shared" si="15"/>
        <v>1.019907423401395</v>
      </c>
      <c r="S62" s="162">
        <f t="shared" si="19"/>
        <v>9.0000000000003411E-3</v>
      </c>
      <c r="T62" s="157">
        <f t="shared" si="8"/>
        <v>-1.2100000000000222E-2</v>
      </c>
      <c r="U62" s="137">
        <f t="shared" si="20"/>
        <v>86788.14</v>
      </c>
      <c r="V62" s="137">
        <f t="shared" si="22"/>
        <v>86518.849999999991</v>
      </c>
      <c r="W62" s="137">
        <f t="shared" si="16"/>
        <v>6.2267962497197793E-2</v>
      </c>
      <c r="X62" s="139">
        <f t="shared" si="17"/>
        <v>1.0316204773778705</v>
      </c>
      <c r="AA62" s="128">
        <v>13.974</v>
      </c>
      <c r="AB62" s="130">
        <v>13.965</v>
      </c>
      <c r="AC62" s="127">
        <v>13.65</v>
      </c>
    </row>
    <row r="63" spans="1:29" x14ac:dyDescent="0.3">
      <c r="A63" s="134">
        <v>44895</v>
      </c>
      <c r="B63" s="134">
        <v>45292</v>
      </c>
      <c r="C63" s="135">
        <f>NETWORKDAYS(A63,B63-1,Feriados!$A$2:$A$2000)</f>
        <v>272</v>
      </c>
      <c r="D63" s="128">
        <v>13.919499999999999</v>
      </c>
      <c r="E63" s="137">
        <f t="shared" si="24"/>
        <v>-5.4500000000000881E-2</v>
      </c>
      <c r="F63" s="138">
        <f t="shared" si="23"/>
        <v>868.78040999999996</v>
      </c>
      <c r="G63" s="137">
        <f t="shared" si="10"/>
        <v>86878.04</v>
      </c>
      <c r="H63" s="137">
        <f t="shared" si="11"/>
        <v>0.10358558208529711</v>
      </c>
      <c r="I63" s="139">
        <f t="shared" si="12"/>
        <v>1.0216419407589543</v>
      </c>
      <c r="J63" s="134">
        <f t="shared" si="25"/>
        <v>45293</v>
      </c>
      <c r="K63" s="130">
        <v>13.914999999999999</v>
      </c>
      <c r="L63" s="137">
        <f t="shared" si="6"/>
        <v>-5.0000000000000711E-2</v>
      </c>
      <c r="M63" s="137">
        <f t="shared" si="18"/>
        <v>86881.75</v>
      </c>
      <c r="N63" s="127">
        <v>13.65</v>
      </c>
      <c r="O63" s="140">
        <f t="shared" si="13"/>
        <v>42.100000000005821</v>
      </c>
      <c r="P63" s="137">
        <f t="shared" si="21"/>
        <v>86881.75</v>
      </c>
      <c r="Q63" s="137">
        <f t="shared" si="14"/>
        <v>9.9290781776062431E-2</v>
      </c>
      <c r="R63" s="139">
        <f t="shared" si="15"/>
        <v>1.0209200974554824</v>
      </c>
      <c r="S63" s="162">
        <f t="shared" si="19"/>
        <v>4.5000000000001705E-3</v>
      </c>
      <c r="T63" s="157">
        <f t="shared" si="8"/>
        <v>-4.5000000000001705E-3</v>
      </c>
      <c r="U63" s="137">
        <f t="shared" si="20"/>
        <v>86878.04</v>
      </c>
      <c r="V63" s="137">
        <f t="shared" si="22"/>
        <v>86835.939999999988</v>
      </c>
      <c r="W63" s="137">
        <f t="shared" si="16"/>
        <v>5.5076649874030714E-2</v>
      </c>
      <c r="X63" s="139">
        <f t="shared" si="17"/>
        <v>1.0321886593762248</v>
      </c>
      <c r="AA63" s="128">
        <v>13.919499999999999</v>
      </c>
      <c r="AB63" s="130">
        <v>13.914999999999999</v>
      </c>
      <c r="AC63" s="127">
        <v>13.65</v>
      </c>
    </row>
    <row r="64" spans="1:29" x14ac:dyDescent="0.3">
      <c r="A64" s="134">
        <v>44896</v>
      </c>
      <c r="B64" s="134">
        <v>45292</v>
      </c>
      <c r="C64" s="135">
        <f>NETWORKDAYS(A64,B64-1,Feriados!$A$2:$A$2000)</f>
        <v>271</v>
      </c>
      <c r="D64" s="128">
        <v>13.9816</v>
      </c>
      <c r="E64" s="137">
        <f t="shared" si="24"/>
        <v>6.2100000000000932E-2</v>
      </c>
      <c r="F64" s="138">
        <f t="shared" si="23"/>
        <v>868.72054200000002</v>
      </c>
      <c r="G64" s="137">
        <f t="shared" si="10"/>
        <v>86872.05</v>
      </c>
      <c r="H64" s="137">
        <f t="shared" si="11"/>
        <v>-6.8947227630733465E-3</v>
      </c>
      <c r="I64" s="139">
        <f t="shared" si="12"/>
        <v>1.0215715013795077</v>
      </c>
      <c r="J64" s="134">
        <f t="shared" si="25"/>
        <v>45293</v>
      </c>
      <c r="K64" s="130">
        <v>13.98</v>
      </c>
      <c r="L64" s="137">
        <f t="shared" si="6"/>
        <v>6.5000000000001279E-2</v>
      </c>
      <c r="M64" s="137">
        <f t="shared" si="18"/>
        <v>86873.37</v>
      </c>
      <c r="N64" s="127">
        <v>13.65</v>
      </c>
      <c r="O64" s="140">
        <f t="shared" si="13"/>
        <v>-52.510000000009313</v>
      </c>
      <c r="P64" s="137">
        <f t="shared" si="21"/>
        <v>86873.37</v>
      </c>
      <c r="Q64" s="137">
        <f t="shared" si="14"/>
        <v>-9.6452937469626576E-3</v>
      </c>
      <c r="R64" s="139">
        <f t="shared" si="15"/>
        <v>1.0208216267131611</v>
      </c>
      <c r="S64" s="162">
        <f t="shared" si="19"/>
        <v>1.5999999999998238E-3</v>
      </c>
      <c r="T64" s="157">
        <f t="shared" si="8"/>
        <v>-2.9000000000003467E-3</v>
      </c>
      <c r="U64" s="137">
        <f t="shared" si="20"/>
        <v>86872.05</v>
      </c>
      <c r="V64" s="137">
        <f t="shared" si="22"/>
        <v>86924.560000000012</v>
      </c>
      <c r="W64" s="137">
        <f t="shared" si="16"/>
        <v>5.3546327702624907E-2</v>
      </c>
      <c r="X64" s="139">
        <f t="shared" si="17"/>
        <v>1.0327413584982839</v>
      </c>
      <c r="AA64" s="128">
        <v>13.9816</v>
      </c>
      <c r="AB64" s="130">
        <v>13.98</v>
      </c>
      <c r="AC64" s="127">
        <v>13.65</v>
      </c>
    </row>
    <row r="65" spans="1:29" x14ac:dyDescent="0.3">
      <c r="A65" s="134">
        <v>44897</v>
      </c>
      <c r="B65" s="134">
        <v>45292</v>
      </c>
      <c r="C65" s="135">
        <f>NETWORKDAYS(A65,B65-1,Feriados!$A$2:$A$2000)</f>
        <v>270</v>
      </c>
      <c r="D65" s="128">
        <v>13.8269</v>
      </c>
      <c r="E65" s="137">
        <f t="shared" si="24"/>
        <v>-0.15470000000000006</v>
      </c>
      <c r="F65" s="138">
        <f t="shared" si="23"/>
        <v>870.43750999999997</v>
      </c>
      <c r="G65" s="137">
        <f t="shared" si="10"/>
        <v>87043.75</v>
      </c>
      <c r="H65" s="137">
        <f t="shared" si="11"/>
        <v>0.19764699923623397</v>
      </c>
      <c r="I65" s="139">
        <f t="shared" si="12"/>
        <v>1.0235906067970368</v>
      </c>
      <c r="J65" s="134">
        <f t="shared" si="25"/>
        <v>45293</v>
      </c>
      <c r="K65" s="130">
        <v>13.824999999999999</v>
      </c>
      <c r="L65" s="137">
        <f t="shared" si="6"/>
        <v>-0.15500000000000114</v>
      </c>
      <c r="M65" s="137">
        <f t="shared" si="18"/>
        <v>87045.31</v>
      </c>
      <c r="N65" s="127">
        <v>13.65</v>
      </c>
      <c r="O65" s="140">
        <f t="shared" si="13"/>
        <v>127.81999999999243</v>
      </c>
      <c r="P65" s="137">
        <f t="shared" si="21"/>
        <v>87045.31</v>
      </c>
      <c r="Q65" s="137">
        <f t="shared" si="14"/>
        <v>0.19792026025926557</v>
      </c>
      <c r="R65" s="139">
        <f t="shared" si="15"/>
        <v>1.0228420395335347</v>
      </c>
      <c r="S65" s="162">
        <f t="shared" si="19"/>
        <v>1.900000000000901E-3</v>
      </c>
      <c r="T65" s="157">
        <f t="shared" si="8"/>
        <v>3.0000000000107718E-4</v>
      </c>
      <c r="U65" s="137">
        <f t="shared" si="20"/>
        <v>87043.75</v>
      </c>
      <c r="V65" s="137">
        <f t="shared" si="22"/>
        <v>86915.930000000008</v>
      </c>
      <c r="W65" s="137">
        <f t="shared" si="16"/>
        <v>5.0511067713965296E-2</v>
      </c>
      <c r="X65" s="139">
        <f t="shared" si="17"/>
        <v>1.0332630071851852</v>
      </c>
      <c r="AA65" s="128">
        <v>13.8269</v>
      </c>
      <c r="AB65" s="130">
        <v>13.824999999999999</v>
      </c>
      <c r="AC65" s="127">
        <v>13.65</v>
      </c>
    </row>
    <row r="66" spans="1:29" x14ac:dyDescent="0.3">
      <c r="A66" s="124"/>
    </row>
    <row r="67" spans="1:29" ht="18" x14ac:dyDescent="0.35">
      <c r="A67" s="124"/>
      <c r="H67" s="126"/>
      <c r="I67" s="132">
        <f>+I65-1</f>
        <v>2.3590606797036839E-2</v>
      </c>
      <c r="R67" s="132">
        <f>+R65-1</f>
        <v>2.2842039533534697E-2</v>
      </c>
      <c r="W67" s="163">
        <f>+S2-S65</f>
        <v>6.2199999999998923E-2</v>
      </c>
      <c r="X67" s="132">
        <f>+X65-1</f>
        <v>3.3263007185185156E-2</v>
      </c>
    </row>
    <row r="68" spans="1:29" ht="18" x14ac:dyDescent="0.35">
      <c r="A68" s="124"/>
      <c r="I68" s="132">
        <f>+I67*100</f>
        <v>2.3590606797036839</v>
      </c>
      <c r="R68" s="132">
        <f>+R67*100</f>
        <v>2.2842039533534697</v>
      </c>
      <c r="X68" s="132">
        <f>+X67*100</f>
        <v>3.3263007185185156</v>
      </c>
    </row>
    <row r="69" spans="1:29" x14ac:dyDescent="0.3">
      <c r="A69" s="124"/>
      <c r="R69" s="161">
        <f>+I68-R68</f>
        <v>7.4856726350214231E-2</v>
      </c>
    </row>
    <row r="70" spans="1:29" ht="18" x14ac:dyDescent="0.35">
      <c r="A70" s="124"/>
      <c r="X70" s="132">
        <v>3.2505440000000001</v>
      </c>
      <c r="Y70" s="164">
        <f>+X68-X70</f>
        <v>7.5756718518515509E-2</v>
      </c>
    </row>
    <row r="71" spans="1:29" ht="18" x14ac:dyDescent="0.35">
      <c r="A71" s="124"/>
      <c r="X71" s="133">
        <f>+X68/X70</f>
        <v>1.023305858501997</v>
      </c>
    </row>
    <row r="72" spans="1:29" x14ac:dyDescent="0.3">
      <c r="A72" s="124"/>
    </row>
    <row r="73" spans="1:29" x14ac:dyDescent="0.3">
      <c r="A73" s="124"/>
    </row>
    <row r="74" spans="1:29" x14ac:dyDescent="0.3">
      <c r="A74" s="124"/>
    </row>
    <row r="75" spans="1:29" x14ac:dyDescent="0.3">
      <c r="A75" s="124"/>
    </row>
    <row r="76" spans="1:29" x14ac:dyDescent="0.3">
      <c r="A76" s="124"/>
    </row>
    <row r="77" spans="1:29" x14ac:dyDescent="0.3">
      <c r="A77" s="124"/>
    </row>
    <row r="78" spans="1:29" x14ac:dyDescent="0.3">
      <c r="A78" s="124"/>
    </row>
    <row r="79" spans="1:29" x14ac:dyDescent="0.3">
      <c r="A79" s="124"/>
    </row>
    <row r="80" spans="1:29" x14ac:dyDescent="0.3">
      <c r="A80" s="124"/>
    </row>
    <row r="81" spans="1:1" x14ac:dyDescent="0.3">
      <c r="A81" s="124"/>
    </row>
    <row r="82" spans="1:1" x14ac:dyDescent="0.3">
      <c r="A82" s="124"/>
    </row>
    <row r="83" spans="1:1" x14ac:dyDescent="0.3">
      <c r="A83" s="124"/>
    </row>
    <row r="84" spans="1:1" x14ac:dyDescent="0.3">
      <c r="A84" s="124"/>
    </row>
    <row r="85" spans="1:1" x14ac:dyDescent="0.3">
      <c r="A85" s="124"/>
    </row>
    <row r="86" spans="1:1" x14ac:dyDescent="0.3">
      <c r="A86" s="124"/>
    </row>
    <row r="87" spans="1:1" x14ac:dyDescent="0.3">
      <c r="A87" s="124"/>
    </row>
    <row r="88" spans="1:1" x14ac:dyDescent="0.3">
      <c r="A88" s="124"/>
    </row>
    <row r="89" spans="1:1" x14ac:dyDescent="0.3">
      <c r="A89" s="124"/>
    </row>
    <row r="90" spans="1:1" x14ac:dyDescent="0.3">
      <c r="A90" s="124"/>
    </row>
    <row r="91" spans="1:1" x14ac:dyDescent="0.3">
      <c r="A91" s="124"/>
    </row>
    <row r="92" spans="1:1" x14ac:dyDescent="0.3">
      <c r="A92" s="124"/>
    </row>
    <row r="93" spans="1:1" x14ac:dyDescent="0.3">
      <c r="A93" s="124"/>
    </row>
    <row r="94" spans="1:1" x14ac:dyDescent="0.3">
      <c r="A94" s="124"/>
    </row>
    <row r="95" spans="1:1" x14ac:dyDescent="0.3">
      <c r="A95" s="124"/>
    </row>
    <row r="96" spans="1:1" x14ac:dyDescent="0.3">
      <c r="A96" s="124"/>
    </row>
    <row r="97" spans="1:1" x14ac:dyDescent="0.3">
      <c r="A97" s="124"/>
    </row>
    <row r="98" spans="1:1" x14ac:dyDescent="0.3">
      <c r="A98" s="124"/>
    </row>
    <row r="99" spans="1:1" x14ac:dyDescent="0.3">
      <c r="A99" s="124"/>
    </row>
    <row r="100" spans="1:1" x14ac:dyDescent="0.3">
      <c r="A100" s="124"/>
    </row>
    <row r="101" spans="1:1" x14ac:dyDescent="0.3">
      <c r="A101" s="124"/>
    </row>
    <row r="102" spans="1:1" x14ac:dyDescent="0.3">
      <c r="A102" s="124"/>
    </row>
    <row r="103" spans="1:1" x14ac:dyDescent="0.3">
      <c r="A103" s="124"/>
    </row>
    <row r="104" spans="1:1" x14ac:dyDescent="0.3">
      <c r="A104" s="124"/>
    </row>
    <row r="105" spans="1:1" x14ac:dyDescent="0.3">
      <c r="A105" s="124"/>
    </row>
    <row r="106" spans="1:1" x14ac:dyDescent="0.3">
      <c r="A106" s="124"/>
    </row>
    <row r="107" spans="1:1" x14ac:dyDescent="0.3">
      <c r="A107" s="124"/>
    </row>
    <row r="108" spans="1:1" x14ac:dyDescent="0.3">
      <c r="A108" s="124"/>
    </row>
    <row r="109" spans="1:1" x14ac:dyDescent="0.3">
      <c r="A109" s="124"/>
    </row>
    <row r="110" spans="1:1" x14ac:dyDescent="0.3">
      <c r="A110" s="124"/>
    </row>
    <row r="111" spans="1:1" x14ac:dyDescent="0.3">
      <c r="A111" s="124"/>
    </row>
    <row r="112" spans="1:1" x14ac:dyDescent="0.3">
      <c r="A112" s="124"/>
    </row>
    <row r="113" spans="1:1" x14ac:dyDescent="0.3">
      <c r="A113" s="124"/>
    </row>
    <row r="114" spans="1:1" x14ac:dyDescent="0.3">
      <c r="A114" s="124"/>
    </row>
    <row r="115" spans="1:1" x14ac:dyDescent="0.3">
      <c r="A115" s="124"/>
    </row>
    <row r="116" spans="1:1" x14ac:dyDescent="0.3">
      <c r="A116" s="124"/>
    </row>
    <row r="117" spans="1:1" x14ac:dyDescent="0.3">
      <c r="A117" s="124"/>
    </row>
    <row r="118" spans="1:1" x14ac:dyDescent="0.3">
      <c r="A118" s="124"/>
    </row>
    <row r="119" spans="1:1" x14ac:dyDescent="0.3">
      <c r="A119" s="124"/>
    </row>
    <row r="120" spans="1:1" x14ac:dyDescent="0.3">
      <c r="A120" s="124"/>
    </row>
    <row r="121" spans="1:1" x14ac:dyDescent="0.3">
      <c r="A121" s="124"/>
    </row>
    <row r="122" spans="1:1" x14ac:dyDescent="0.3">
      <c r="A122" s="124"/>
    </row>
    <row r="123" spans="1:1" x14ac:dyDescent="0.3">
      <c r="A123" s="124"/>
    </row>
    <row r="124" spans="1:1" x14ac:dyDescent="0.3">
      <c r="A124" s="124"/>
    </row>
    <row r="125" spans="1:1" x14ac:dyDescent="0.3">
      <c r="A125" s="124"/>
    </row>
    <row r="126" spans="1:1" x14ac:dyDescent="0.3">
      <c r="A126" s="124"/>
    </row>
    <row r="127" spans="1:1" x14ac:dyDescent="0.3">
      <c r="A127" s="124"/>
    </row>
    <row r="128" spans="1:1" x14ac:dyDescent="0.3">
      <c r="A128" s="124"/>
    </row>
    <row r="129" spans="1:1" x14ac:dyDescent="0.3">
      <c r="A129" s="124"/>
    </row>
    <row r="130" spans="1:1" x14ac:dyDescent="0.3">
      <c r="A130" s="124"/>
    </row>
    <row r="131" spans="1:1" x14ac:dyDescent="0.3">
      <c r="A131" s="124"/>
    </row>
    <row r="132" spans="1:1" x14ac:dyDescent="0.3">
      <c r="A132" s="124"/>
    </row>
    <row r="133" spans="1:1" x14ac:dyDescent="0.3">
      <c r="A133" s="124"/>
    </row>
    <row r="134" spans="1:1" x14ac:dyDescent="0.3">
      <c r="A134" s="124"/>
    </row>
    <row r="135" spans="1:1" x14ac:dyDescent="0.3">
      <c r="A135" s="124"/>
    </row>
    <row r="136" spans="1:1" x14ac:dyDescent="0.3">
      <c r="A136" s="124"/>
    </row>
    <row r="137" spans="1:1" x14ac:dyDescent="0.3">
      <c r="A137" s="124"/>
    </row>
    <row r="138" spans="1:1" x14ac:dyDescent="0.3">
      <c r="A138" s="124"/>
    </row>
    <row r="139" spans="1:1" x14ac:dyDescent="0.3">
      <c r="A139" s="124"/>
    </row>
    <row r="140" spans="1:1" x14ac:dyDescent="0.3">
      <c r="A140" s="124"/>
    </row>
    <row r="141" spans="1:1" x14ac:dyDescent="0.3">
      <c r="A141" s="124"/>
    </row>
    <row r="142" spans="1:1" x14ac:dyDescent="0.3">
      <c r="A142" s="124"/>
    </row>
    <row r="143" spans="1:1" x14ac:dyDescent="0.3">
      <c r="A143" s="124"/>
    </row>
    <row r="144" spans="1:1" x14ac:dyDescent="0.3">
      <c r="A144" s="124"/>
    </row>
    <row r="145" spans="1:1" x14ac:dyDescent="0.3">
      <c r="A145" s="124"/>
    </row>
    <row r="146" spans="1:1" x14ac:dyDescent="0.3">
      <c r="A146" s="124"/>
    </row>
    <row r="147" spans="1:1" x14ac:dyDescent="0.3">
      <c r="A147" s="124"/>
    </row>
    <row r="148" spans="1:1" x14ac:dyDescent="0.3">
      <c r="A148" s="124"/>
    </row>
    <row r="149" spans="1:1" x14ac:dyDescent="0.3">
      <c r="A149" s="124"/>
    </row>
    <row r="150" spans="1:1" x14ac:dyDescent="0.3">
      <c r="A150" s="124"/>
    </row>
    <row r="151" spans="1:1" x14ac:dyDescent="0.3">
      <c r="A151" s="124"/>
    </row>
    <row r="152" spans="1:1" x14ac:dyDescent="0.3">
      <c r="A152" s="124"/>
    </row>
    <row r="153" spans="1:1" x14ac:dyDescent="0.3">
      <c r="A153" s="124"/>
    </row>
    <row r="154" spans="1:1" x14ac:dyDescent="0.3">
      <c r="A154" s="124"/>
    </row>
    <row r="155" spans="1:1" x14ac:dyDescent="0.3">
      <c r="A155" s="124"/>
    </row>
    <row r="156" spans="1:1" x14ac:dyDescent="0.3">
      <c r="A156" s="124"/>
    </row>
    <row r="157" spans="1:1" x14ac:dyDescent="0.3">
      <c r="A157" s="124"/>
    </row>
    <row r="158" spans="1:1" x14ac:dyDescent="0.3">
      <c r="A158" s="124"/>
    </row>
    <row r="159" spans="1:1" x14ac:dyDescent="0.3">
      <c r="A159" s="124"/>
    </row>
    <row r="160" spans="1:1" x14ac:dyDescent="0.3">
      <c r="A160" s="124"/>
    </row>
    <row r="161" spans="1:1" x14ac:dyDescent="0.3">
      <c r="A161" s="124"/>
    </row>
    <row r="162" spans="1:1" x14ac:dyDescent="0.3">
      <c r="A162" s="124"/>
    </row>
    <row r="163" spans="1:1" x14ac:dyDescent="0.3">
      <c r="A163" s="124"/>
    </row>
    <row r="164" spans="1:1" x14ac:dyDescent="0.3">
      <c r="A164" s="124"/>
    </row>
    <row r="165" spans="1:1" x14ac:dyDescent="0.3">
      <c r="A165" s="124"/>
    </row>
    <row r="166" spans="1:1" x14ac:dyDescent="0.3">
      <c r="A166" s="124"/>
    </row>
    <row r="167" spans="1:1" x14ac:dyDescent="0.3">
      <c r="A167" s="124"/>
    </row>
    <row r="168" spans="1:1" x14ac:dyDescent="0.3">
      <c r="A168" s="124"/>
    </row>
    <row r="169" spans="1:1" x14ac:dyDescent="0.3">
      <c r="A169" s="124"/>
    </row>
    <row r="170" spans="1:1" x14ac:dyDescent="0.3">
      <c r="A170" s="124"/>
    </row>
    <row r="171" spans="1:1" x14ac:dyDescent="0.3">
      <c r="A171" s="124"/>
    </row>
    <row r="172" spans="1:1" x14ac:dyDescent="0.3">
      <c r="A172" s="124"/>
    </row>
    <row r="173" spans="1:1" x14ac:dyDescent="0.3">
      <c r="A173" s="124"/>
    </row>
    <row r="174" spans="1:1" x14ac:dyDescent="0.3">
      <c r="A174" s="124"/>
    </row>
    <row r="175" spans="1:1" x14ac:dyDescent="0.3">
      <c r="A175" s="124"/>
    </row>
    <row r="176" spans="1:1" x14ac:dyDescent="0.3">
      <c r="A176" s="124"/>
    </row>
    <row r="177" spans="1:1" x14ac:dyDescent="0.3">
      <c r="A177" s="124"/>
    </row>
    <row r="178" spans="1:1" x14ac:dyDescent="0.3">
      <c r="A178" s="124"/>
    </row>
    <row r="179" spans="1:1" x14ac:dyDescent="0.3">
      <c r="A179" s="124"/>
    </row>
    <row r="180" spans="1:1" x14ac:dyDescent="0.3">
      <c r="A180" s="124"/>
    </row>
    <row r="181" spans="1:1" x14ac:dyDescent="0.3">
      <c r="A181" s="124"/>
    </row>
    <row r="182" spans="1:1" x14ac:dyDescent="0.3">
      <c r="A182" s="124"/>
    </row>
    <row r="183" spans="1:1" x14ac:dyDescent="0.3">
      <c r="A183" s="124"/>
    </row>
    <row r="184" spans="1:1" x14ac:dyDescent="0.3">
      <c r="A184" s="124"/>
    </row>
    <row r="185" spans="1:1" x14ac:dyDescent="0.3">
      <c r="A185" s="124"/>
    </row>
    <row r="186" spans="1:1" x14ac:dyDescent="0.3">
      <c r="A186" s="124"/>
    </row>
    <row r="187" spans="1:1" x14ac:dyDescent="0.3">
      <c r="A187" s="124"/>
    </row>
    <row r="188" spans="1:1" x14ac:dyDescent="0.3">
      <c r="A188" s="124"/>
    </row>
    <row r="189" spans="1:1" x14ac:dyDescent="0.3">
      <c r="A189" s="124"/>
    </row>
    <row r="190" spans="1:1" x14ac:dyDescent="0.3">
      <c r="A190" s="124"/>
    </row>
    <row r="191" spans="1:1" x14ac:dyDescent="0.3">
      <c r="A191" s="124"/>
    </row>
    <row r="192" spans="1:1" x14ac:dyDescent="0.3">
      <c r="A192" s="124"/>
    </row>
    <row r="193" spans="1:1" x14ac:dyDescent="0.3">
      <c r="A193" s="124"/>
    </row>
    <row r="194" spans="1:1" x14ac:dyDescent="0.3">
      <c r="A194" s="124"/>
    </row>
    <row r="195" spans="1:1" x14ac:dyDescent="0.3">
      <c r="A195" s="124"/>
    </row>
    <row r="196" spans="1:1" x14ac:dyDescent="0.3">
      <c r="A196" s="124"/>
    </row>
    <row r="197" spans="1:1" x14ac:dyDescent="0.3">
      <c r="A197" s="124"/>
    </row>
    <row r="198" spans="1:1" x14ac:dyDescent="0.3">
      <c r="A198" s="124"/>
    </row>
    <row r="199" spans="1:1" x14ac:dyDescent="0.3">
      <c r="A199" s="124"/>
    </row>
    <row r="200" spans="1:1" x14ac:dyDescent="0.3">
      <c r="A200" s="124"/>
    </row>
    <row r="201" spans="1:1" x14ac:dyDescent="0.3">
      <c r="A201" s="124"/>
    </row>
    <row r="202" spans="1:1" x14ac:dyDescent="0.3">
      <c r="A202" s="124"/>
    </row>
    <row r="203" spans="1:1" x14ac:dyDescent="0.3">
      <c r="A203" s="124"/>
    </row>
    <row r="204" spans="1:1" x14ac:dyDescent="0.3">
      <c r="A204" s="124"/>
    </row>
    <row r="205" spans="1:1" x14ac:dyDescent="0.3">
      <c r="A205" s="124"/>
    </row>
    <row r="206" spans="1:1" x14ac:dyDescent="0.3">
      <c r="A206" s="124"/>
    </row>
    <row r="207" spans="1:1" x14ac:dyDescent="0.3">
      <c r="A207" s="124"/>
    </row>
    <row r="208" spans="1:1" x14ac:dyDescent="0.3">
      <c r="A208" s="124"/>
    </row>
    <row r="209" spans="1:1" x14ac:dyDescent="0.3">
      <c r="A209" s="124"/>
    </row>
    <row r="210" spans="1:1" x14ac:dyDescent="0.3">
      <c r="A210" s="124"/>
    </row>
    <row r="211" spans="1:1" x14ac:dyDescent="0.3">
      <c r="A211" s="124"/>
    </row>
    <row r="212" spans="1:1" x14ac:dyDescent="0.3">
      <c r="A212" s="124"/>
    </row>
    <row r="213" spans="1:1" x14ac:dyDescent="0.3">
      <c r="A213" s="124"/>
    </row>
    <row r="214" spans="1:1" x14ac:dyDescent="0.3">
      <c r="A214" s="124"/>
    </row>
    <row r="215" spans="1:1" x14ac:dyDescent="0.3">
      <c r="A215" s="124"/>
    </row>
    <row r="216" spans="1:1" x14ac:dyDescent="0.3">
      <c r="A216" s="124"/>
    </row>
    <row r="217" spans="1:1" x14ac:dyDescent="0.3">
      <c r="A217" s="124"/>
    </row>
    <row r="218" spans="1:1" x14ac:dyDescent="0.3">
      <c r="A218" s="124"/>
    </row>
    <row r="219" spans="1:1" x14ac:dyDescent="0.3">
      <c r="A219" s="124"/>
    </row>
    <row r="220" spans="1:1" x14ac:dyDescent="0.3">
      <c r="A220" s="124"/>
    </row>
    <row r="221" spans="1:1" x14ac:dyDescent="0.3">
      <c r="A221" s="124"/>
    </row>
    <row r="222" spans="1:1" x14ac:dyDescent="0.3">
      <c r="A222" s="124"/>
    </row>
    <row r="223" spans="1:1" x14ac:dyDescent="0.3">
      <c r="A223" s="124"/>
    </row>
    <row r="224" spans="1:1" x14ac:dyDescent="0.3">
      <c r="A224" s="124"/>
    </row>
    <row r="225" spans="1:1" x14ac:dyDescent="0.3">
      <c r="A225" s="124"/>
    </row>
    <row r="226" spans="1:1" x14ac:dyDescent="0.3">
      <c r="A226" s="124"/>
    </row>
    <row r="227" spans="1:1" x14ac:dyDescent="0.3">
      <c r="A227" s="124"/>
    </row>
    <row r="228" spans="1:1" x14ac:dyDescent="0.3">
      <c r="A228" s="124"/>
    </row>
    <row r="229" spans="1:1" x14ac:dyDescent="0.3">
      <c r="A229" s="124"/>
    </row>
    <row r="230" spans="1:1" x14ac:dyDescent="0.3">
      <c r="A230" s="124"/>
    </row>
    <row r="231" spans="1:1" x14ac:dyDescent="0.3">
      <c r="A231" s="124"/>
    </row>
    <row r="232" spans="1:1" x14ac:dyDescent="0.3">
      <c r="A232" s="124"/>
    </row>
    <row r="233" spans="1:1" x14ac:dyDescent="0.3">
      <c r="A233" s="124"/>
    </row>
    <row r="234" spans="1:1" x14ac:dyDescent="0.3">
      <c r="A234" s="124"/>
    </row>
    <row r="235" spans="1:1" x14ac:dyDescent="0.3">
      <c r="A235" s="124"/>
    </row>
    <row r="236" spans="1:1" x14ac:dyDescent="0.3">
      <c r="A236" s="124"/>
    </row>
    <row r="237" spans="1:1" x14ac:dyDescent="0.3">
      <c r="A237" s="124"/>
    </row>
    <row r="238" spans="1:1" x14ac:dyDescent="0.3">
      <c r="A238" s="124"/>
    </row>
    <row r="239" spans="1:1" x14ac:dyDescent="0.3">
      <c r="A239" s="124"/>
    </row>
    <row r="240" spans="1:1" x14ac:dyDescent="0.3">
      <c r="A240" s="124"/>
    </row>
    <row r="241" spans="1:1" x14ac:dyDescent="0.3">
      <c r="A241" s="124"/>
    </row>
    <row r="242" spans="1:1" x14ac:dyDescent="0.3">
      <c r="A242" s="124"/>
    </row>
    <row r="243" spans="1:1" x14ac:dyDescent="0.3">
      <c r="A243" s="124"/>
    </row>
    <row r="244" spans="1:1" x14ac:dyDescent="0.3">
      <c r="A244" s="124"/>
    </row>
    <row r="245" spans="1:1" x14ac:dyDescent="0.3">
      <c r="A245" s="124"/>
    </row>
    <row r="246" spans="1:1" x14ac:dyDescent="0.3">
      <c r="A246" s="124"/>
    </row>
    <row r="247" spans="1:1" x14ac:dyDescent="0.3">
      <c r="A247" s="124"/>
    </row>
    <row r="248" spans="1:1" x14ac:dyDescent="0.3">
      <c r="A248" s="124"/>
    </row>
    <row r="249" spans="1:1" x14ac:dyDescent="0.3">
      <c r="A249" s="124"/>
    </row>
    <row r="250" spans="1:1" x14ac:dyDescent="0.3">
      <c r="A250" s="124"/>
    </row>
    <row r="251" spans="1:1" x14ac:dyDescent="0.3">
      <c r="A251" s="124"/>
    </row>
    <row r="252" spans="1:1" x14ac:dyDescent="0.3">
      <c r="A252" s="124"/>
    </row>
    <row r="253" spans="1:1" x14ac:dyDescent="0.3">
      <c r="A253" s="124"/>
    </row>
    <row r="254" spans="1:1" x14ac:dyDescent="0.3">
      <c r="A254" s="124"/>
    </row>
    <row r="255" spans="1:1" x14ac:dyDescent="0.3">
      <c r="A255" s="124"/>
    </row>
    <row r="256" spans="1:1" x14ac:dyDescent="0.3">
      <c r="A256" s="124"/>
    </row>
    <row r="257" spans="1:1" x14ac:dyDescent="0.3">
      <c r="A257" s="124"/>
    </row>
    <row r="258" spans="1:1" x14ac:dyDescent="0.3">
      <c r="A258" s="124"/>
    </row>
    <row r="259" spans="1:1" x14ac:dyDescent="0.3">
      <c r="A259" s="124"/>
    </row>
    <row r="260" spans="1:1" x14ac:dyDescent="0.3">
      <c r="A260" s="124"/>
    </row>
    <row r="261" spans="1:1" x14ac:dyDescent="0.3">
      <c r="A261" s="124"/>
    </row>
    <row r="262" spans="1:1" x14ac:dyDescent="0.3">
      <c r="A262" s="124"/>
    </row>
    <row r="263" spans="1:1" x14ac:dyDescent="0.3">
      <c r="A263" s="124"/>
    </row>
    <row r="264" spans="1:1" x14ac:dyDescent="0.3">
      <c r="A264" s="124"/>
    </row>
    <row r="265" spans="1:1" x14ac:dyDescent="0.3">
      <c r="A265" s="124"/>
    </row>
    <row r="266" spans="1:1" x14ac:dyDescent="0.3">
      <c r="A266" s="124"/>
    </row>
    <row r="267" spans="1:1" x14ac:dyDescent="0.3">
      <c r="A267" s="124"/>
    </row>
    <row r="268" spans="1:1" x14ac:dyDescent="0.3">
      <c r="A268" s="124"/>
    </row>
    <row r="269" spans="1:1" x14ac:dyDescent="0.3">
      <c r="A269" s="124"/>
    </row>
    <row r="270" spans="1:1" x14ac:dyDescent="0.3">
      <c r="A270" s="124"/>
    </row>
    <row r="271" spans="1:1" x14ac:dyDescent="0.3">
      <c r="A271" s="124"/>
    </row>
    <row r="272" spans="1:1" x14ac:dyDescent="0.3">
      <c r="A272" s="124"/>
    </row>
    <row r="273" spans="1:1" x14ac:dyDescent="0.3">
      <c r="A273" s="124"/>
    </row>
    <row r="274" spans="1:1" x14ac:dyDescent="0.3">
      <c r="A274" s="124"/>
    </row>
    <row r="275" spans="1:1" x14ac:dyDescent="0.3">
      <c r="A275" s="124"/>
    </row>
    <row r="276" spans="1:1" x14ac:dyDescent="0.3">
      <c r="A276" s="124"/>
    </row>
    <row r="277" spans="1:1" x14ac:dyDescent="0.3">
      <c r="A277" s="124"/>
    </row>
    <row r="278" spans="1:1" x14ac:dyDescent="0.3">
      <c r="A278" s="124"/>
    </row>
    <row r="279" spans="1:1" x14ac:dyDescent="0.3">
      <c r="A279" s="124"/>
    </row>
    <row r="280" spans="1:1" x14ac:dyDescent="0.3">
      <c r="A280" s="124"/>
    </row>
    <row r="281" spans="1:1" x14ac:dyDescent="0.3">
      <c r="A281" s="124"/>
    </row>
    <row r="282" spans="1:1" x14ac:dyDescent="0.3">
      <c r="A282" s="124"/>
    </row>
    <row r="283" spans="1:1" x14ac:dyDescent="0.3">
      <c r="A283" s="124"/>
    </row>
    <row r="284" spans="1:1" x14ac:dyDescent="0.3">
      <c r="A284" s="124"/>
    </row>
    <row r="285" spans="1:1" x14ac:dyDescent="0.3">
      <c r="A285" s="124"/>
    </row>
    <row r="286" spans="1:1" x14ac:dyDescent="0.3">
      <c r="A286" s="124"/>
    </row>
    <row r="287" spans="1:1" x14ac:dyDescent="0.3">
      <c r="A287" s="124"/>
    </row>
    <row r="288" spans="1:1" x14ac:dyDescent="0.3">
      <c r="A288" s="124"/>
    </row>
    <row r="289" spans="1:1" x14ac:dyDescent="0.3">
      <c r="A289" s="124"/>
    </row>
    <row r="290" spans="1:1" x14ac:dyDescent="0.3">
      <c r="A290" s="124"/>
    </row>
    <row r="291" spans="1:1" x14ac:dyDescent="0.3">
      <c r="A291" s="124"/>
    </row>
    <row r="292" spans="1:1" x14ac:dyDescent="0.3">
      <c r="A292" s="124"/>
    </row>
    <row r="293" spans="1:1" x14ac:dyDescent="0.3">
      <c r="A293" s="124"/>
    </row>
    <row r="294" spans="1:1" x14ac:dyDescent="0.3">
      <c r="A294" s="124"/>
    </row>
    <row r="295" spans="1:1" x14ac:dyDescent="0.3">
      <c r="A295" s="124"/>
    </row>
    <row r="296" spans="1:1" x14ac:dyDescent="0.3">
      <c r="A296" s="124"/>
    </row>
    <row r="297" spans="1:1" x14ac:dyDescent="0.3">
      <c r="A297" s="124"/>
    </row>
    <row r="298" spans="1:1" x14ac:dyDescent="0.3">
      <c r="A298" s="124"/>
    </row>
    <row r="299" spans="1:1" x14ac:dyDescent="0.3">
      <c r="A299" s="124"/>
    </row>
    <row r="300" spans="1:1" x14ac:dyDescent="0.3">
      <c r="A300" s="124"/>
    </row>
    <row r="301" spans="1:1" x14ac:dyDescent="0.3">
      <c r="A301" s="124"/>
    </row>
    <row r="302" spans="1:1" x14ac:dyDescent="0.3">
      <c r="A302" s="124"/>
    </row>
    <row r="303" spans="1:1" x14ac:dyDescent="0.3">
      <c r="A303" s="124"/>
    </row>
    <row r="304" spans="1:1" x14ac:dyDescent="0.3">
      <c r="A304" s="124"/>
    </row>
    <row r="305" spans="1:1" x14ac:dyDescent="0.3">
      <c r="A305" s="124"/>
    </row>
    <row r="306" spans="1:1" x14ac:dyDescent="0.3">
      <c r="A306" s="124"/>
    </row>
    <row r="307" spans="1:1" x14ac:dyDescent="0.3">
      <c r="A307" s="124"/>
    </row>
    <row r="308" spans="1:1" x14ac:dyDescent="0.3">
      <c r="A308" s="124"/>
    </row>
    <row r="309" spans="1:1" x14ac:dyDescent="0.3">
      <c r="A309" s="124"/>
    </row>
    <row r="310" spans="1:1" x14ac:dyDescent="0.3">
      <c r="A310" s="124"/>
    </row>
    <row r="311" spans="1:1" x14ac:dyDescent="0.3">
      <c r="A311" s="124"/>
    </row>
    <row r="312" spans="1:1" x14ac:dyDescent="0.3">
      <c r="A312" s="124"/>
    </row>
    <row r="313" spans="1:1" x14ac:dyDescent="0.3">
      <c r="A313" s="124"/>
    </row>
    <row r="314" spans="1:1" x14ac:dyDescent="0.3">
      <c r="A314" s="124"/>
    </row>
    <row r="315" spans="1:1" x14ac:dyDescent="0.3">
      <c r="A315" s="124"/>
    </row>
    <row r="316" spans="1:1" x14ac:dyDescent="0.3">
      <c r="A316" s="124"/>
    </row>
    <row r="317" spans="1:1" x14ac:dyDescent="0.3">
      <c r="A317" s="124"/>
    </row>
    <row r="318" spans="1:1" x14ac:dyDescent="0.3">
      <c r="A318" s="124"/>
    </row>
    <row r="319" spans="1:1" x14ac:dyDescent="0.3">
      <c r="A319" s="124"/>
    </row>
    <row r="320" spans="1:1" x14ac:dyDescent="0.3">
      <c r="A320" s="124"/>
    </row>
    <row r="321" spans="1:1" x14ac:dyDescent="0.3">
      <c r="A321" s="124"/>
    </row>
    <row r="322" spans="1:1" x14ac:dyDescent="0.3">
      <c r="A322" s="124"/>
    </row>
    <row r="323" spans="1:1" x14ac:dyDescent="0.3">
      <c r="A323" s="124"/>
    </row>
    <row r="324" spans="1:1" x14ac:dyDescent="0.3">
      <c r="A324" s="124"/>
    </row>
    <row r="325" spans="1:1" x14ac:dyDescent="0.3">
      <c r="A325" s="124"/>
    </row>
    <row r="326" spans="1:1" x14ac:dyDescent="0.3">
      <c r="A326" s="124"/>
    </row>
    <row r="327" spans="1:1" x14ac:dyDescent="0.3">
      <c r="A327" s="124"/>
    </row>
    <row r="328" spans="1:1" x14ac:dyDescent="0.3">
      <c r="A328" s="124"/>
    </row>
    <row r="329" spans="1:1" x14ac:dyDescent="0.3">
      <c r="A329" s="124"/>
    </row>
    <row r="330" spans="1:1" x14ac:dyDescent="0.3">
      <c r="A330" s="124"/>
    </row>
    <row r="331" spans="1:1" x14ac:dyDescent="0.3">
      <c r="A331" s="124"/>
    </row>
    <row r="332" spans="1:1" x14ac:dyDescent="0.3">
      <c r="A332" s="124"/>
    </row>
    <row r="333" spans="1:1" x14ac:dyDescent="0.3">
      <c r="A333" s="124"/>
    </row>
    <row r="334" spans="1:1" x14ac:dyDescent="0.3">
      <c r="A334" s="124"/>
    </row>
    <row r="335" spans="1:1" x14ac:dyDescent="0.3">
      <c r="A335" s="124"/>
    </row>
    <row r="336" spans="1:1" x14ac:dyDescent="0.3">
      <c r="A336" s="124"/>
    </row>
    <row r="337" spans="1:1" x14ac:dyDescent="0.3">
      <c r="A337" s="124"/>
    </row>
    <row r="338" spans="1:1" x14ac:dyDescent="0.3">
      <c r="A338" s="124"/>
    </row>
    <row r="339" spans="1:1" x14ac:dyDescent="0.3">
      <c r="A339" s="124"/>
    </row>
    <row r="340" spans="1:1" x14ac:dyDescent="0.3">
      <c r="A340" s="124"/>
    </row>
    <row r="341" spans="1:1" x14ac:dyDescent="0.3">
      <c r="A341" s="124"/>
    </row>
    <row r="342" spans="1:1" x14ac:dyDescent="0.3">
      <c r="A342" s="124"/>
    </row>
    <row r="343" spans="1:1" x14ac:dyDescent="0.3">
      <c r="A343" s="124"/>
    </row>
    <row r="344" spans="1:1" x14ac:dyDescent="0.3">
      <c r="A344" s="124"/>
    </row>
    <row r="345" spans="1:1" x14ac:dyDescent="0.3">
      <c r="A345" s="124"/>
    </row>
    <row r="346" spans="1:1" x14ac:dyDescent="0.3">
      <c r="A346" s="124"/>
    </row>
    <row r="347" spans="1:1" x14ac:dyDescent="0.3">
      <c r="A347" s="124"/>
    </row>
    <row r="348" spans="1:1" x14ac:dyDescent="0.3">
      <c r="A348" s="124"/>
    </row>
    <row r="349" spans="1:1" x14ac:dyDescent="0.3">
      <c r="A349" s="124"/>
    </row>
    <row r="350" spans="1:1" x14ac:dyDescent="0.3">
      <c r="A350" s="124"/>
    </row>
    <row r="351" spans="1:1" x14ac:dyDescent="0.3">
      <c r="A351" s="124"/>
    </row>
    <row r="352" spans="1:1" x14ac:dyDescent="0.3">
      <c r="A352" s="124"/>
    </row>
    <row r="353" spans="1:1" x14ac:dyDescent="0.3">
      <c r="A353" s="124"/>
    </row>
    <row r="354" spans="1:1" x14ac:dyDescent="0.3">
      <c r="A354" s="124"/>
    </row>
    <row r="355" spans="1:1" x14ac:dyDescent="0.3">
      <c r="A355" s="124"/>
    </row>
    <row r="356" spans="1:1" x14ac:dyDescent="0.3">
      <c r="A356" s="124"/>
    </row>
    <row r="357" spans="1:1" x14ac:dyDescent="0.3">
      <c r="A357" s="124"/>
    </row>
    <row r="358" spans="1:1" x14ac:dyDescent="0.3">
      <c r="A358" s="124"/>
    </row>
    <row r="359" spans="1:1" x14ac:dyDescent="0.3">
      <c r="A359" s="124"/>
    </row>
    <row r="360" spans="1:1" x14ac:dyDescent="0.3">
      <c r="A360" s="124"/>
    </row>
    <row r="361" spans="1:1" x14ac:dyDescent="0.3">
      <c r="A361" s="124"/>
    </row>
    <row r="362" spans="1:1" x14ac:dyDescent="0.3">
      <c r="A362" s="124"/>
    </row>
    <row r="363" spans="1:1" x14ac:dyDescent="0.3">
      <c r="A363" s="124"/>
    </row>
    <row r="364" spans="1:1" x14ac:dyDescent="0.3">
      <c r="A364" s="124"/>
    </row>
    <row r="365" spans="1:1" x14ac:dyDescent="0.3">
      <c r="A365" s="124"/>
    </row>
    <row r="366" spans="1:1" x14ac:dyDescent="0.3">
      <c r="A366" s="124"/>
    </row>
    <row r="367" spans="1:1" x14ac:dyDescent="0.3">
      <c r="A367" s="124"/>
    </row>
    <row r="368" spans="1:1" x14ac:dyDescent="0.3">
      <c r="A368" s="124"/>
    </row>
    <row r="369" spans="1:1" x14ac:dyDescent="0.3">
      <c r="A369" s="124"/>
    </row>
    <row r="370" spans="1:1" x14ac:dyDescent="0.3">
      <c r="A370" s="124"/>
    </row>
    <row r="371" spans="1:1" x14ac:dyDescent="0.3">
      <c r="A371" s="124"/>
    </row>
    <row r="372" spans="1:1" x14ac:dyDescent="0.3">
      <c r="A372" s="124"/>
    </row>
    <row r="373" spans="1:1" x14ac:dyDescent="0.3">
      <c r="A373" s="124"/>
    </row>
    <row r="374" spans="1:1" x14ac:dyDescent="0.3">
      <c r="A374" s="124"/>
    </row>
    <row r="375" spans="1:1" x14ac:dyDescent="0.3">
      <c r="A375" s="124"/>
    </row>
    <row r="376" spans="1:1" x14ac:dyDescent="0.3">
      <c r="A376" s="124"/>
    </row>
    <row r="377" spans="1:1" x14ac:dyDescent="0.3">
      <c r="A377" s="124"/>
    </row>
    <row r="378" spans="1:1" x14ac:dyDescent="0.3">
      <c r="A378" s="124"/>
    </row>
    <row r="379" spans="1:1" x14ac:dyDescent="0.3">
      <c r="A379" s="124"/>
    </row>
    <row r="380" spans="1:1" x14ac:dyDescent="0.3">
      <c r="A380" s="124"/>
    </row>
    <row r="381" spans="1:1" x14ac:dyDescent="0.3">
      <c r="A381" s="124"/>
    </row>
    <row r="382" spans="1:1" x14ac:dyDescent="0.3">
      <c r="A382" s="124"/>
    </row>
    <row r="383" spans="1:1" x14ac:dyDescent="0.3">
      <c r="A383" s="124"/>
    </row>
    <row r="384" spans="1:1" x14ac:dyDescent="0.3">
      <c r="A384" s="124"/>
    </row>
    <row r="385" spans="1:1" x14ac:dyDescent="0.3">
      <c r="A385" s="124"/>
    </row>
    <row r="386" spans="1:1" x14ac:dyDescent="0.3">
      <c r="A386" s="124"/>
    </row>
    <row r="387" spans="1:1" x14ac:dyDescent="0.3">
      <c r="A387" s="124"/>
    </row>
    <row r="388" spans="1:1" x14ac:dyDescent="0.3">
      <c r="A388" s="124"/>
    </row>
    <row r="389" spans="1:1" x14ac:dyDescent="0.3">
      <c r="A389" s="124"/>
    </row>
    <row r="390" spans="1:1" x14ac:dyDescent="0.3">
      <c r="A390" s="124"/>
    </row>
    <row r="391" spans="1:1" x14ac:dyDescent="0.3">
      <c r="A391" s="124"/>
    </row>
    <row r="392" spans="1:1" x14ac:dyDescent="0.3">
      <c r="A392" s="124"/>
    </row>
    <row r="393" spans="1:1" x14ac:dyDescent="0.3">
      <c r="A393" s="124"/>
    </row>
    <row r="394" spans="1:1" x14ac:dyDescent="0.3">
      <c r="A394" s="124"/>
    </row>
    <row r="395" spans="1:1" x14ac:dyDescent="0.3">
      <c r="A395" s="124"/>
    </row>
    <row r="396" spans="1:1" x14ac:dyDescent="0.3">
      <c r="A396" s="124"/>
    </row>
    <row r="397" spans="1:1" x14ac:dyDescent="0.3">
      <c r="A397" s="124"/>
    </row>
    <row r="398" spans="1:1" x14ac:dyDescent="0.3">
      <c r="A398" s="124"/>
    </row>
    <row r="399" spans="1:1" x14ac:dyDescent="0.3">
      <c r="A399" s="124"/>
    </row>
    <row r="400" spans="1:1" x14ac:dyDescent="0.3">
      <c r="A400" s="124"/>
    </row>
    <row r="401" spans="1:1" x14ac:dyDescent="0.3">
      <c r="A401" s="124"/>
    </row>
    <row r="402" spans="1:1" x14ac:dyDescent="0.3">
      <c r="A402" s="124"/>
    </row>
    <row r="403" spans="1:1" x14ac:dyDescent="0.3">
      <c r="A403" s="124"/>
    </row>
    <row r="404" spans="1:1" x14ac:dyDescent="0.3">
      <c r="A404" s="124"/>
    </row>
    <row r="405" spans="1:1" x14ac:dyDescent="0.3">
      <c r="A405" s="124"/>
    </row>
    <row r="406" spans="1:1" x14ac:dyDescent="0.3">
      <c r="A406" s="124"/>
    </row>
    <row r="407" spans="1:1" x14ac:dyDescent="0.3">
      <c r="A407" s="124"/>
    </row>
    <row r="408" spans="1:1" x14ac:dyDescent="0.3">
      <c r="A408" s="124"/>
    </row>
    <row r="409" spans="1:1" x14ac:dyDescent="0.3">
      <c r="A409" s="124"/>
    </row>
    <row r="410" spans="1:1" x14ac:dyDescent="0.3">
      <c r="A410" s="124"/>
    </row>
    <row r="411" spans="1:1" x14ac:dyDescent="0.3">
      <c r="A411" s="124"/>
    </row>
    <row r="412" spans="1:1" x14ac:dyDescent="0.3">
      <c r="A412" s="124"/>
    </row>
    <row r="413" spans="1:1" x14ac:dyDescent="0.3">
      <c r="A413" s="124"/>
    </row>
    <row r="414" spans="1:1" x14ac:dyDescent="0.3">
      <c r="A414" s="124"/>
    </row>
    <row r="415" spans="1:1" x14ac:dyDescent="0.3">
      <c r="A415" s="124"/>
    </row>
    <row r="416" spans="1:1" x14ac:dyDescent="0.3">
      <c r="A416" s="124"/>
    </row>
    <row r="417" spans="1:1" x14ac:dyDescent="0.3">
      <c r="A417" s="124"/>
    </row>
    <row r="418" spans="1:1" x14ac:dyDescent="0.3">
      <c r="A418" s="124"/>
    </row>
    <row r="419" spans="1:1" x14ac:dyDescent="0.3">
      <c r="A419" s="124"/>
    </row>
    <row r="420" spans="1:1" x14ac:dyDescent="0.3">
      <c r="A420" s="124"/>
    </row>
    <row r="421" spans="1:1" x14ac:dyDescent="0.3">
      <c r="A421" s="124"/>
    </row>
    <row r="422" spans="1:1" x14ac:dyDescent="0.3">
      <c r="A422" s="124"/>
    </row>
    <row r="423" spans="1:1" x14ac:dyDescent="0.3">
      <c r="A423" s="124"/>
    </row>
    <row r="424" spans="1:1" x14ac:dyDescent="0.3">
      <c r="A424" s="124"/>
    </row>
    <row r="425" spans="1:1" x14ac:dyDescent="0.3">
      <c r="A425" s="124"/>
    </row>
    <row r="426" spans="1:1" x14ac:dyDescent="0.3">
      <c r="A426" s="124"/>
    </row>
    <row r="427" spans="1:1" x14ac:dyDescent="0.3">
      <c r="A427" s="124"/>
    </row>
    <row r="428" spans="1:1" x14ac:dyDescent="0.3">
      <c r="A428" s="124"/>
    </row>
    <row r="429" spans="1:1" x14ac:dyDescent="0.3">
      <c r="A429" s="124"/>
    </row>
    <row r="430" spans="1:1" x14ac:dyDescent="0.3">
      <c r="A430" s="124"/>
    </row>
    <row r="431" spans="1:1" x14ac:dyDescent="0.3">
      <c r="A431" s="124"/>
    </row>
    <row r="432" spans="1:1" x14ac:dyDescent="0.3">
      <c r="A432" s="124"/>
    </row>
    <row r="433" spans="1:1" x14ac:dyDescent="0.3">
      <c r="A433" s="124"/>
    </row>
    <row r="434" spans="1:1" x14ac:dyDescent="0.3">
      <c r="A434" s="124"/>
    </row>
    <row r="435" spans="1:1" x14ac:dyDescent="0.3">
      <c r="A435" s="124"/>
    </row>
    <row r="436" spans="1:1" x14ac:dyDescent="0.3">
      <c r="A436" s="124"/>
    </row>
    <row r="437" spans="1:1" x14ac:dyDescent="0.3">
      <c r="A437" s="124"/>
    </row>
    <row r="438" spans="1:1" x14ac:dyDescent="0.3">
      <c r="A438" s="124"/>
    </row>
    <row r="439" spans="1:1" x14ac:dyDescent="0.3">
      <c r="A439" s="124"/>
    </row>
    <row r="440" spans="1:1" x14ac:dyDescent="0.3">
      <c r="A440" s="124"/>
    </row>
    <row r="441" spans="1:1" x14ac:dyDescent="0.3">
      <c r="A441" s="124"/>
    </row>
    <row r="442" spans="1:1" x14ac:dyDescent="0.3">
      <c r="A442" s="124"/>
    </row>
    <row r="443" spans="1:1" x14ac:dyDescent="0.3">
      <c r="A443" s="124"/>
    </row>
    <row r="444" spans="1:1" x14ac:dyDescent="0.3">
      <c r="A444" s="124"/>
    </row>
    <row r="445" spans="1:1" x14ac:dyDescent="0.3">
      <c r="A445" s="124"/>
    </row>
    <row r="446" spans="1:1" x14ac:dyDescent="0.3">
      <c r="A446" s="124"/>
    </row>
    <row r="447" spans="1:1" x14ac:dyDescent="0.3">
      <c r="A447" s="124"/>
    </row>
    <row r="448" spans="1:1" x14ac:dyDescent="0.3">
      <c r="A448" s="124"/>
    </row>
    <row r="449" spans="1:1" x14ac:dyDescent="0.3">
      <c r="A449" s="124"/>
    </row>
    <row r="450" spans="1:1" x14ac:dyDescent="0.3">
      <c r="A450" s="124"/>
    </row>
    <row r="451" spans="1:1" x14ac:dyDescent="0.3">
      <c r="A451" s="124"/>
    </row>
    <row r="452" spans="1:1" x14ac:dyDescent="0.3">
      <c r="A452" s="124"/>
    </row>
    <row r="453" spans="1:1" x14ac:dyDescent="0.3">
      <c r="A453" s="124"/>
    </row>
    <row r="454" spans="1:1" x14ac:dyDescent="0.3">
      <c r="A454" s="124"/>
    </row>
    <row r="455" spans="1:1" x14ac:dyDescent="0.3">
      <c r="A455" s="124"/>
    </row>
    <row r="456" spans="1:1" x14ac:dyDescent="0.3">
      <c r="A456" s="124"/>
    </row>
    <row r="457" spans="1:1" x14ac:dyDescent="0.3">
      <c r="A457" s="124"/>
    </row>
    <row r="458" spans="1:1" x14ac:dyDescent="0.3">
      <c r="A458" s="124"/>
    </row>
    <row r="459" spans="1:1" x14ac:dyDescent="0.3">
      <c r="A459" s="124"/>
    </row>
    <row r="460" spans="1:1" x14ac:dyDescent="0.3">
      <c r="A460" s="124"/>
    </row>
    <row r="461" spans="1:1" x14ac:dyDescent="0.3">
      <c r="A461" s="124"/>
    </row>
    <row r="462" spans="1:1" x14ac:dyDescent="0.3">
      <c r="A462" s="124"/>
    </row>
    <row r="463" spans="1:1" x14ac:dyDescent="0.3">
      <c r="A463" s="124"/>
    </row>
    <row r="464" spans="1:1" x14ac:dyDescent="0.3">
      <c r="A464" s="124"/>
    </row>
    <row r="465" spans="1:1" x14ac:dyDescent="0.3">
      <c r="A465" s="124"/>
    </row>
    <row r="466" spans="1:1" x14ac:dyDescent="0.3">
      <c r="A466" s="124"/>
    </row>
    <row r="467" spans="1:1" x14ac:dyDescent="0.3">
      <c r="A467" s="124"/>
    </row>
    <row r="468" spans="1:1" x14ac:dyDescent="0.3">
      <c r="A468" s="124"/>
    </row>
    <row r="469" spans="1:1" x14ac:dyDescent="0.3">
      <c r="A469" s="124"/>
    </row>
    <row r="470" spans="1:1" x14ac:dyDescent="0.3">
      <c r="A470" s="124"/>
    </row>
    <row r="471" spans="1:1" x14ac:dyDescent="0.3">
      <c r="A471" s="124"/>
    </row>
    <row r="472" spans="1:1" x14ac:dyDescent="0.3">
      <c r="A472" s="124"/>
    </row>
    <row r="473" spans="1:1" x14ac:dyDescent="0.3">
      <c r="A473" s="124"/>
    </row>
    <row r="474" spans="1:1" x14ac:dyDescent="0.3">
      <c r="A474" s="124"/>
    </row>
    <row r="475" spans="1:1" x14ac:dyDescent="0.3">
      <c r="A475" s="124"/>
    </row>
    <row r="476" spans="1:1" x14ac:dyDescent="0.3">
      <c r="A476" s="124"/>
    </row>
    <row r="477" spans="1:1" x14ac:dyDescent="0.3">
      <c r="A477" s="124"/>
    </row>
    <row r="478" spans="1:1" x14ac:dyDescent="0.3">
      <c r="A478" s="124"/>
    </row>
    <row r="479" spans="1:1" x14ac:dyDescent="0.3">
      <c r="A479" s="124"/>
    </row>
    <row r="480" spans="1:1" x14ac:dyDescent="0.3">
      <c r="A480" s="124"/>
    </row>
    <row r="481" spans="1:1" x14ac:dyDescent="0.3">
      <c r="A481" s="124"/>
    </row>
    <row r="482" spans="1:1" x14ac:dyDescent="0.3">
      <c r="A482" s="124"/>
    </row>
    <row r="483" spans="1:1" x14ac:dyDescent="0.3">
      <c r="A483" s="124"/>
    </row>
    <row r="484" spans="1:1" x14ac:dyDescent="0.3">
      <c r="A484" s="124"/>
    </row>
    <row r="485" spans="1:1" x14ac:dyDescent="0.3">
      <c r="A485" s="124"/>
    </row>
    <row r="486" spans="1:1" x14ac:dyDescent="0.3">
      <c r="A486" s="124"/>
    </row>
    <row r="487" spans="1:1" x14ac:dyDescent="0.3">
      <c r="A487" s="124"/>
    </row>
    <row r="488" spans="1:1" x14ac:dyDescent="0.3">
      <c r="A488" s="124"/>
    </row>
    <row r="489" spans="1:1" x14ac:dyDescent="0.3">
      <c r="A489" s="124"/>
    </row>
    <row r="490" spans="1:1" x14ac:dyDescent="0.3">
      <c r="A490" s="124"/>
    </row>
    <row r="491" spans="1:1" x14ac:dyDescent="0.3">
      <c r="A491" s="124"/>
    </row>
    <row r="492" spans="1:1" x14ac:dyDescent="0.3">
      <c r="A492" s="124"/>
    </row>
    <row r="493" spans="1:1" x14ac:dyDescent="0.3">
      <c r="A493" s="124"/>
    </row>
    <row r="494" spans="1:1" x14ac:dyDescent="0.3">
      <c r="A494" s="124"/>
    </row>
    <row r="495" spans="1:1" x14ac:dyDescent="0.3">
      <c r="A495" s="124"/>
    </row>
    <row r="496" spans="1:1" x14ac:dyDescent="0.3">
      <c r="A496" s="124"/>
    </row>
    <row r="497" spans="1:1" x14ac:dyDescent="0.3">
      <c r="A497" s="124"/>
    </row>
    <row r="498" spans="1:1" x14ac:dyDescent="0.3">
      <c r="A498" s="124"/>
    </row>
    <row r="499" spans="1:1" x14ac:dyDescent="0.3">
      <c r="A499" s="124"/>
    </row>
    <row r="500" spans="1:1" x14ac:dyDescent="0.3">
      <c r="A500" s="124"/>
    </row>
    <row r="501" spans="1:1" x14ac:dyDescent="0.3">
      <c r="A501" s="124"/>
    </row>
    <row r="502" spans="1:1" x14ac:dyDescent="0.3">
      <c r="A502" s="124"/>
    </row>
    <row r="503" spans="1:1" x14ac:dyDescent="0.3">
      <c r="A503" s="124"/>
    </row>
    <row r="504" spans="1:1" x14ac:dyDescent="0.3">
      <c r="A504" s="124"/>
    </row>
    <row r="505" spans="1:1" x14ac:dyDescent="0.3">
      <c r="A505" s="124"/>
    </row>
    <row r="506" spans="1:1" x14ac:dyDescent="0.3">
      <c r="A506" s="124"/>
    </row>
    <row r="507" spans="1:1" x14ac:dyDescent="0.3">
      <c r="A507" s="124"/>
    </row>
    <row r="508" spans="1:1" x14ac:dyDescent="0.3">
      <c r="A508" s="124"/>
    </row>
    <row r="509" spans="1:1" x14ac:dyDescent="0.3">
      <c r="A509" s="124"/>
    </row>
    <row r="510" spans="1:1" x14ac:dyDescent="0.3">
      <c r="A510" s="124"/>
    </row>
    <row r="511" spans="1:1" x14ac:dyDescent="0.3">
      <c r="A511" s="124"/>
    </row>
    <row r="512" spans="1:1" x14ac:dyDescent="0.3">
      <c r="A512" s="124"/>
    </row>
    <row r="513" spans="1:1" x14ac:dyDescent="0.3">
      <c r="A513" s="124"/>
    </row>
    <row r="514" spans="1:1" x14ac:dyDescent="0.3">
      <c r="A514" s="124"/>
    </row>
    <row r="515" spans="1:1" x14ac:dyDescent="0.3">
      <c r="A515" s="124"/>
    </row>
    <row r="516" spans="1:1" x14ac:dyDescent="0.3">
      <c r="A516" s="124"/>
    </row>
    <row r="517" spans="1:1" x14ac:dyDescent="0.3">
      <c r="A517" s="124"/>
    </row>
    <row r="518" spans="1:1" x14ac:dyDescent="0.3">
      <c r="A518" s="124"/>
    </row>
    <row r="519" spans="1:1" x14ac:dyDescent="0.3">
      <c r="A519" s="124"/>
    </row>
    <row r="520" spans="1:1" x14ac:dyDescent="0.3">
      <c r="A520" s="124"/>
    </row>
    <row r="521" spans="1:1" x14ac:dyDescent="0.3">
      <c r="A521" s="124"/>
    </row>
    <row r="522" spans="1:1" x14ac:dyDescent="0.3">
      <c r="A522" s="124"/>
    </row>
    <row r="523" spans="1:1" x14ac:dyDescent="0.3">
      <c r="A523" s="124"/>
    </row>
    <row r="524" spans="1:1" x14ac:dyDescent="0.3">
      <c r="A524" s="124"/>
    </row>
    <row r="525" spans="1:1" x14ac:dyDescent="0.3">
      <c r="A525" s="124"/>
    </row>
    <row r="526" spans="1:1" x14ac:dyDescent="0.3">
      <c r="A526" s="124"/>
    </row>
    <row r="527" spans="1:1" x14ac:dyDescent="0.3">
      <c r="A527" s="124"/>
    </row>
    <row r="528" spans="1:1" x14ac:dyDescent="0.3">
      <c r="A528" s="124"/>
    </row>
    <row r="529" spans="1:1" x14ac:dyDescent="0.3">
      <c r="A529" s="124"/>
    </row>
    <row r="530" spans="1:1" x14ac:dyDescent="0.3">
      <c r="A530" s="124"/>
    </row>
    <row r="531" spans="1:1" x14ac:dyDescent="0.3">
      <c r="A531" s="124"/>
    </row>
    <row r="532" spans="1:1" x14ac:dyDescent="0.3">
      <c r="A532" s="124"/>
    </row>
    <row r="533" spans="1:1" x14ac:dyDescent="0.3">
      <c r="A533" s="124"/>
    </row>
    <row r="534" spans="1:1" x14ac:dyDescent="0.3">
      <c r="A534" s="124"/>
    </row>
    <row r="535" spans="1:1" x14ac:dyDescent="0.3">
      <c r="A535" s="124"/>
    </row>
    <row r="536" spans="1:1" x14ac:dyDescent="0.3">
      <c r="A536" s="124"/>
    </row>
    <row r="537" spans="1:1" x14ac:dyDescent="0.3">
      <c r="A537" s="124"/>
    </row>
    <row r="538" spans="1:1" x14ac:dyDescent="0.3">
      <c r="A538" s="124"/>
    </row>
    <row r="539" spans="1:1" x14ac:dyDescent="0.3">
      <c r="A539" s="124"/>
    </row>
    <row r="540" spans="1:1" x14ac:dyDescent="0.3">
      <c r="A540" s="124"/>
    </row>
    <row r="541" spans="1:1" x14ac:dyDescent="0.3">
      <c r="A541" s="124"/>
    </row>
    <row r="542" spans="1:1" x14ac:dyDescent="0.3">
      <c r="A542" s="124"/>
    </row>
    <row r="543" spans="1:1" x14ac:dyDescent="0.3">
      <c r="A543" s="124"/>
    </row>
    <row r="544" spans="1:1" x14ac:dyDescent="0.3">
      <c r="A544" s="124"/>
    </row>
    <row r="545" spans="1:1" x14ac:dyDescent="0.3">
      <c r="A545" s="124"/>
    </row>
    <row r="546" spans="1:1" x14ac:dyDescent="0.3">
      <c r="A546" s="124"/>
    </row>
    <row r="547" spans="1:1" x14ac:dyDescent="0.3">
      <c r="A547" s="124"/>
    </row>
    <row r="548" spans="1:1" x14ac:dyDescent="0.3">
      <c r="A548" s="124"/>
    </row>
    <row r="549" spans="1:1" x14ac:dyDescent="0.3">
      <c r="A549" s="124"/>
    </row>
    <row r="550" spans="1:1" x14ac:dyDescent="0.3">
      <c r="A550" s="124"/>
    </row>
    <row r="551" spans="1:1" x14ac:dyDescent="0.3">
      <c r="A551" s="124"/>
    </row>
    <row r="552" spans="1:1" x14ac:dyDescent="0.3">
      <c r="A552" s="124"/>
    </row>
    <row r="553" spans="1:1" x14ac:dyDescent="0.3">
      <c r="A553" s="124"/>
    </row>
    <row r="554" spans="1:1" x14ac:dyDescent="0.3">
      <c r="A554" s="124"/>
    </row>
    <row r="555" spans="1:1" x14ac:dyDescent="0.3">
      <c r="A555" s="124"/>
    </row>
    <row r="556" spans="1:1" x14ac:dyDescent="0.3">
      <c r="A556" s="124"/>
    </row>
    <row r="557" spans="1:1" x14ac:dyDescent="0.3">
      <c r="A557" s="124"/>
    </row>
    <row r="558" spans="1:1" x14ac:dyDescent="0.3">
      <c r="A558" s="124"/>
    </row>
    <row r="559" spans="1:1" x14ac:dyDescent="0.3">
      <c r="A559" s="124"/>
    </row>
    <row r="560" spans="1:1" x14ac:dyDescent="0.3">
      <c r="A560" s="124"/>
    </row>
    <row r="561" spans="1:1" x14ac:dyDescent="0.3">
      <c r="A561" s="124"/>
    </row>
    <row r="562" spans="1:1" x14ac:dyDescent="0.3">
      <c r="A562" s="124"/>
    </row>
    <row r="563" spans="1:1" x14ac:dyDescent="0.3">
      <c r="A563" s="124"/>
    </row>
    <row r="564" spans="1:1" x14ac:dyDescent="0.3">
      <c r="A564" s="124"/>
    </row>
    <row r="565" spans="1:1" x14ac:dyDescent="0.3">
      <c r="A565" s="124"/>
    </row>
    <row r="566" spans="1:1" x14ac:dyDescent="0.3">
      <c r="A566" s="124"/>
    </row>
    <row r="567" spans="1:1" x14ac:dyDescent="0.3">
      <c r="A567" s="124"/>
    </row>
    <row r="568" spans="1:1" x14ac:dyDescent="0.3">
      <c r="A568" s="124"/>
    </row>
    <row r="569" spans="1:1" x14ac:dyDescent="0.3">
      <c r="A569" s="124"/>
    </row>
    <row r="570" spans="1:1" x14ac:dyDescent="0.3">
      <c r="A570" s="124"/>
    </row>
    <row r="571" spans="1:1" x14ac:dyDescent="0.3">
      <c r="A571" s="124"/>
    </row>
    <row r="572" spans="1:1" x14ac:dyDescent="0.3">
      <c r="A572" s="124"/>
    </row>
    <row r="573" spans="1:1" x14ac:dyDescent="0.3">
      <c r="A573" s="124"/>
    </row>
    <row r="574" spans="1:1" x14ac:dyDescent="0.3">
      <c r="A574" s="124"/>
    </row>
    <row r="575" spans="1:1" x14ac:dyDescent="0.3">
      <c r="A575" s="124"/>
    </row>
    <row r="576" spans="1:1" x14ac:dyDescent="0.3">
      <c r="A576" s="124"/>
    </row>
    <row r="577" spans="1:1" x14ac:dyDescent="0.3">
      <c r="A577" s="124"/>
    </row>
    <row r="578" spans="1:1" x14ac:dyDescent="0.3">
      <c r="A578" s="124"/>
    </row>
    <row r="579" spans="1:1" x14ac:dyDescent="0.3">
      <c r="A579" s="124"/>
    </row>
    <row r="580" spans="1:1" x14ac:dyDescent="0.3">
      <c r="A580" s="124"/>
    </row>
    <row r="581" spans="1:1" x14ac:dyDescent="0.3">
      <c r="A581" s="124"/>
    </row>
    <row r="582" spans="1:1" x14ac:dyDescent="0.3">
      <c r="A582" s="124"/>
    </row>
    <row r="583" spans="1:1" x14ac:dyDescent="0.3">
      <c r="A583" s="124"/>
    </row>
    <row r="584" spans="1:1" x14ac:dyDescent="0.3">
      <c r="A584" s="124"/>
    </row>
    <row r="585" spans="1:1" x14ac:dyDescent="0.3">
      <c r="A585" s="124"/>
    </row>
    <row r="586" spans="1:1" x14ac:dyDescent="0.3">
      <c r="A586" s="124"/>
    </row>
    <row r="587" spans="1:1" x14ac:dyDescent="0.3">
      <c r="A587" s="124"/>
    </row>
    <row r="588" spans="1:1" x14ac:dyDescent="0.3">
      <c r="A588" s="124"/>
    </row>
    <row r="589" spans="1:1" x14ac:dyDescent="0.3">
      <c r="A589" s="124"/>
    </row>
    <row r="590" spans="1:1" x14ac:dyDescent="0.3">
      <c r="A590" s="124"/>
    </row>
    <row r="591" spans="1:1" x14ac:dyDescent="0.3">
      <c r="A591" s="124"/>
    </row>
    <row r="592" spans="1:1" x14ac:dyDescent="0.3">
      <c r="A592" s="124"/>
    </row>
    <row r="593" spans="1:1" x14ac:dyDescent="0.3">
      <c r="A593" s="124"/>
    </row>
    <row r="594" spans="1:1" x14ac:dyDescent="0.3">
      <c r="A594" s="124"/>
    </row>
    <row r="595" spans="1:1" x14ac:dyDescent="0.3">
      <c r="A595" s="124"/>
    </row>
    <row r="596" spans="1:1" x14ac:dyDescent="0.3">
      <c r="A596" s="124"/>
    </row>
    <row r="597" spans="1:1" x14ac:dyDescent="0.3">
      <c r="A597" s="124"/>
    </row>
    <row r="598" spans="1:1" x14ac:dyDescent="0.3">
      <c r="A598" s="124"/>
    </row>
    <row r="599" spans="1:1" x14ac:dyDescent="0.3">
      <c r="A599" s="124"/>
    </row>
    <row r="600" spans="1:1" x14ac:dyDescent="0.3">
      <c r="A600" s="124"/>
    </row>
    <row r="601" spans="1:1" x14ac:dyDescent="0.3">
      <c r="A601" s="124"/>
    </row>
    <row r="602" spans="1:1" x14ac:dyDescent="0.3">
      <c r="A602" s="124"/>
    </row>
    <row r="603" spans="1:1" x14ac:dyDescent="0.3">
      <c r="A603" s="124"/>
    </row>
    <row r="604" spans="1:1" x14ac:dyDescent="0.3">
      <c r="A604" s="124"/>
    </row>
    <row r="605" spans="1:1" x14ac:dyDescent="0.3">
      <c r="A605" s="124"/>
    </row>
    <row r="606" spans="1:1" x14ac:dyDescent="0.3">
      <c r="A606" s="124"/>
    </row>
    <row r="607" spans="1:1" x14ac:dyDescent="0.3">
      <c r="A607" s="124"/>
    </row>
    <row r="608" spans="1:1" x14ac:dyDescent="0.3">
      <c r="A608" s="124"/>
    </row>
    <row r="609" spans="1:1" x14ac:dyDescent="0.3">
      <c r="A609" s="124"/>
    </row>
    <row r="610" spans="1:1" x14ac:dyDescent="0.3">
      <c r="A610" s="124"/>
    </row>
    <row r="611" spans="1:1" x14ac:dyDescent="0.3">
      <c r="A611" s="124"/>
    </row>
    <row r="612" spans="1:1" x14ac:dyDescent="0.3">
      <c r="A612" s="124"/>
    </row>
    <row r="613" spans="1:1" x14ac:dyDescent="0.3">
      <c r="A613" s="124"/>
    </row>
    <row r="614" spans="1:1" x14ac:dyDescent="0.3">
      <c r="A614" s="124"/>
    </row>
    <row r="615" spans="1:1" x14ac:dyDescent="0.3">
      <c r="A615" s="124"/>
    </row>
    <row r="616" spans="1:1" x14ac:dyDescent="0.3">
      <c r="A616" s="124"/>
    </row>
    <row r="617" spans="1:1" x14ac:dyDescent="0.3">
      <c r="A617" s="124"/>
    </row>
    <row r="618" spans="1:1" x14ac:dyDescent="0.3">
      <c r="A618" s="124"/>
    </row>
    <row r="619" spans="1:1" x14ac:dyDescent="0.3">
      <c r="A619" s="124"/>
    </row>
    <row r="620" spans="1:1" x14ac:dyDescent="0.3">
      <c r="A620" s="124"/>
    </row>
    <row r="621" spans="1:1" x14ac:dyDescent="0.3">
      <c r="A621" s="124"/>
    </row>
    <row r="622" spans="1:1" x14ac:dyDescent="0.3">
      <c r="A622" s="124"/>
    </row>
    <row r="623" spans="1:1" x14ac:dyDescent="0.3">
      <c r="A623" s="124"/>
    </row>
    <row r="624" spans="1:1" x14ac:dyDescent="0.3">
      <c r="A624" s="124"/>
    </row>
    <row r="625" spans="1:1" x14ac:dyDescent="0.3">
      <c r="A625" s="124"/>
    </row>
    <row r="626" spans="1:1" x14ac:dyDescent="0.3">
      <c r="A626" s="124"/>
    </row>
    <row r="627" spans="1:1" x14ac:dyDescent="0.3">
      <c r="A627" s="124"/>
    </row>
    <row r="628" spans="1:1" x14ac:dyDescent="0.3">
      <c r="A628" s="124"/>
    </row>
    <row r="629" spans="1:1" x14ac:dyDescent="0.3">
      <c r="A629" s="124"/>
    </row>
    <row r="630" spans="1:1" x14ac:dyDescent="0.3">
      <c r="A630" s="124"/>
    </row>
    <row r="631" spans="1:1" x14ac:dyDescent="0.3">
      <c r="A631" s="124"/>
    </row>
    <row r="632" spans="1:1" x14ac:dyDescent="0.3">
      <c r="A632" s="124"/>
    </row>
    <row r="633" spans="1:1" x14ac:dyDescent="0.3">
      <c r="A633" s="124"/>
    </row>
    <row r="634" spans="1:1" x14ac:dyDescent="0.3">
      <c r="A634" s="124"/>
    </row>
    <row r="635" spans="1:1" x14ac:dyDescent="0.3">
      <c r="A635" s="124"/>
    </row>
    <row r="636" spans="1:1" x14ac:dyDescent="0.3">
      <c r="A636" s="124"/>
    </row>
    <row r="637" spans="1:1" x14ac:dyDescent="0.3">
      <c r="A637" s="124"/>
    </row>
    <row r="638" spans="1:1" x14ac:dyDescent="0.3">
      <c r="A638" s="124"/>
    </row>
    <row r="639" spans="1:1" x14ac:dyDescent="0.3">
      <c r="A639" s="124"/>
    </row>
    <row r="640" spans="1:1" x14ac:dyDescent="0.3">
      <c r="A640" s="124"/>
    </row>
    <row r="641" spans="1:1" x14ac:dyDescent="0.3">
      <c r="A641" s="124"/>
    </row>
    <row r="642" spans="1:1" x14ac:dyDescent="0.3">
      <c r="A642" s="124"/>
    </row>
    <row r="643" spans="1:1" x14ac:dyDescent="0.3">
      <c r="A643" s="124"/>
    </row>
    <row r="644" spans="1:1" x14ac:dyDescent="0.3">
      <c r="A644" s="124"/>
    </row>
    <row r="645" spans="1:1" x14ac:dyDescent="0.3">
      <c r="A645" s="124"/>
    </row>
    <row r="646" spans="1:1" x14ac:dyDescent="0.3">
      <c r="A646" s="124"/>
    </row>
    <row r="647" spans="1:1" x14ac:dyDescent="0.3">
      <c r="A647" s="124"/>
    </row>
    <row r="648" spans="1:1" x14ac:dyDescent="0.3">
      <c r="A648" s="124"/>
    </row>
    <row r="649" spans="1:1" x14ac:dyDescent="0.3">
      <c r="A649" s="124"/>
    </row>
    <row r="650" spans="1:1" x14ac:dyDescent="0.3">
      <c r="A650" s="124"/>
    </row>
    <row r="651" spans="1:1" x14ac:dyDescent="0.3">
      <c r="A651" s="124"/>
    </row>
    <row r="652" spans="1:1" x14ac:dyDescent="0.3">
      <c r="A652" s="124"/>
    </row>
    <row r="653" spans="1:1" x14ac:dyDescent="0.3">
      <c r="A653" s="124"/>
    </row>
    <row r="654" spans="1:1" x14ac:dyDescent="0.3">
      <c r="A654" s="124"/>
    </row>
    <row r="655" spans="1:1" x14ac:dyDescent="0.3">
      <c r="A655" s="124"/>
    </row>
    <row r="656" spans="1:1" x14ac:dyDescent="0.3">
      <c r="A656" s="124"/>
    </row>
    <row r="657" spans="1:1" x14ac:dyDescent="0.3">
      <c r="A657" s="124"/>
    </row>
    <row r="658" spans="1:1" x14ac:dyDescent="0.3">
      <c r="A658" s="124"/>
    </row>
    <row r="659" spans="1:1" x14ac:dyDescent="0.3">
      <c r="A659" s="124"/>
    </row>
    <row r="660" spans="1:1" x14ac:dyDescent="0.3">
      <c r="A660" s="124"/>
    </row>
    <row r="661" spans="1:1" x14ac:dyDescent="0.3">
      <c r="A661" s="124"/>
    </row>
    <row r="662" spans="1:1" x14ac:dyDescent="0.3">
      <c r="A662" s="124"/>
    </row>
    <row r="663" spans="1:1" x14ac:dyDescent="0.3">
      <c r="A663" s="124"/>
    </row>
    <row r="664" spans="1:1" x14ac:dyDescent="0.3">
      <c r="A664" s="124"/>
    </row>
    <row r="665" spans="1:1" x14ac:dyDescent="0.3">
      <c r="A665" s="124"/>
    </row>
    <row r="666" spans="1:1" x14ac:dyDescent="0.3">
      <c r="A666" s="124"/>
    </row>
    <row r="667" spans="1:1" x14ac:dyDescent="0.3">
      <c r="A667" s="124"/>
    </row>
    <row r="668" spans="1:1" x14ac:dyDescent="0.3">
      <c r="A668" s="124"/>
    </row>
    <row r="669" spans="1:1" x14ac:dyDescent="0.3">
      <c r="A669" s="124"/>
    </row>
    <row r="670" spans="1:1" x14ac:dyDescent="0.3">
      <c r="A670" s="124"/>
    </row>
    <row r="671" spans="1:1" x14ac:dyDescent="0.3">
      <c r="A671" s="124"/>
    </row>
    <row r="672" spans="1:1" x14ac:dyDescent="0.3">
      <c r="A672" s="124"/>
    </row>
    <row r="673" spans="1:1" x14ac:dyDescent="0.3">
      <c r="A673" s="124"/>
    </row>
    <row r="674" spans="1:1" x14ac:dyDescent="0.3">
      <c r="A674" s="124"/>
    </row>
    <row r="675" spans="1:1" x14ac:dyDescent="0.3">
      <c r="A675" s="124"/>
    </row>
    <row r="676" spans="1:1" x14ac:dyDescent="0.3">
      <c r="A676" s="124"/>
    </row>
    <row r="677" spans="1:1" x14ac:dyDescent="0.3">
      <c r="A677" s="124"/>
    </row>
    <row r="678" spans="1:1" x14ac:dyDescent="0.3">
      <c r="A678" s="124"/>
    </row>
    <row r="679" spans="1:1" x14ac:dyDescent="0.3">
      <c r="A679" s="124"/>
    </row>
    <row r="680" spans="1:1" x14ac:dyDescent="0.3">
      <c r="A680" s="124"/>
    </row>
    <row r="681" spans="1:1" x14ac:dyDescent="0.3">
      <c r="A681" s="124"/>
    </row>
    <row r="682" spans="1:1" x14ac:dyDescent="0.3">
      <c r="A682" s="124"/>
    </row>
    <row r="683" spans="1:1" x14ac:dyDescent="0.3">
      <c r="A683" s="124"/>
    </row>
    <row r="684" spans="1:1" x14ac:dyDescent="0.3">
      <c r="A684" s="124"/>
    </row>
    <row r="685" spans="1:1" x14ac:dyDescent="0.3">
      <c r="A685" s="124"/>
    </row>
    <row r="686" spans="1:1" x14ac:dyDescent="0.3">
      <c r="A686" s="124"/>
    </row>
    <row r="687" spans="1:1" x14ac:dyDescent="0.3">
      <c r="A687" s="124"/>
    </row>
    <row r="688" spans="1:1" x14ac:dyDescent="0.3">
      <c r="A688" s="124"/>
    </row>
    <row r="689" spans="1:1" x14ac:dyDescent="0.3">
      <c r="A689" s="124"/>
    </row>
    <row r="690" spans="1:1" x14ac:dyDescent="0.3">
      <c r="A690" s="124"/>
    </row>
    <row r="691" spans="1:1" x14ac:dyDescent="0.3">
      <c r="A691" s="124"/>
    </row>
    <row r="692" spans="1:1" x14ac:dyDescent="0.3">
      <c r="A692" s="124"/>
    </row>
    <row r="693" spans="1:1" x14ac:dyDescent="0.3">
      <c r="A693" s="124"/>
    </row>
    <row r="694" spans="1:1" x14ac:dyDescent="0.3">
      <c r="A694" s="124"/>
    </row>
    <row r="695" spans="1:1" x14ac:dyDescent="0.3">
      <c r="A695" s="124"/>
    </row>
    <row r="696" spans="1:1" x14ac:dyDescent="0.3">
      <c r="A696" s="124"/>
    </row>
    <row r="697" spans="1:1" x14ac:dyDescent="0.3">
      <c r="A697" s="124"/>
    </row>
    <row r="698" spans="1:1" x14ac:dyDescent="0.3">
      <c r="A698" s="124"/>
    </row>
    <row r="699" spans="1:1" x14ac:dyDescent="0.3">
      <c r="A699" s="124"/>
    </row>
    <row r="700" spans="1:1" x14ac:dyDescent="0.3">
      <c r="A700" s="124"/>
    </row>
    <row r="701" spans="1:1" x14ac:dyDescent="0.3">
      <c r="A701" s="124"/>
    </row>
    <row r="702" spans="1:1" x14ac:dyDescent="0.3">
      <c r="A702" s="124"/>
    </row>
    <row r="703" spans="1:1" x14ac:dyDescent="0.3">
      <c r="A703" s="124"/>
    </row>
    <row r="704" spans="1:1" x14ac:dyDescent="0.3">
      <c r="A704" s="124"/>
    </row>
    <row r="705" spans="1:1" x14ac:dyDescent="0.3">
      <c r="A705" s="124"/>
    </row>
    <row r="706" spans="1:1" x14ac:dyDescent="0.3">
      <c r="A706" s="124"/>
    </row>
    <row r="707" spans="1:1" x14ac:dyDescent="0.3">
      <c r="A707" s="124"/>
    </row>
    <row r="708" spans="1:1" x14ac:dyDescent="0.3">
      <c r="A708" s="124"/>
    </row>
    <row r="709" spans="1:1" x14ac:dyDescent="0.3">
      <c r="A709" s="124"/>
    </row>
    <row r="710" spans="1:1" x14ac:dyDescent="0.3">
      <c r="A710" s="124"/>
    </row>
    <row r="711" spans="1:1" x14ac:dyDescent="0.3">
      <c r="A711" s="124"/>
    </row>
    <row r="712" spans="1:1" x14ac:dyDescent="0.3">
      <c r="A712" s="124"/>
    </row>
    <row r="713" spans="1:1" x14ac:dyDescent="0.3">
      <c r="A713" s="124"/>
    </row>
    <row r="714" spans="1:1" x14ac:dyDescent="0.3">
      <c r="A714" s="124"/>
    </row>
    <row r="715" spans="1:1" x14ac:dyDescent="0.3">
      <c r="A715" s="124"/>
    </row>
    <row r="716" spans="1:1" x14ac:dyDescent="0.3">
      <c r="A716" s="124"/>
    </row>
    <row r="717" spans="1:1" x14ac:dyDescent="0.3">
      <c r="A717" s="124"/>
    </row>
    <row r="718" spans="1:1" x14ac:dyDescent="0.3">
      <c r="A718" s="124"/>
    </row>
    <row r="719" spans="1:1" x14ac:dyDescent="0.3">
      <c r="A719" s="124"/>
    </row>
    <row r="720" spans="1:1" x14ac:dyDescent="0.3">
      <c r="A720" s="124"/>
    </row>
    <row r="721" spans="1:1" x14ac:dyDescent="0.3">
      <c r="A721" s="124"/>
    </row>
    <row r="722" spans="1:1" x14ac:dyDescent="0.3">
      <c r="A722" s="124"/>
    </row>
    <row r="723" spans="1:1" x14ac:dyDescent="0.3">
      <c r="A723" s="124"/>
    </row>
    <row r="724" spans="1:1" x14ac:dyDescent="0.3">
      <c r="A724" s="124"/>
    </row>
    <row r="725" spans="1:1" x14ac:dyDescent="0.3">
      <c r="A725" s="124"/>
    </row>
    <row r="726" spans="1:1" x14ac:dyDescent="0.3">
      <c r="A726" s="124"/>
    </row>
    <row r="727" spans="1:1" x14ac:dyDescent="0.3">
      <c r="A727" s="124"/>
    </row>
    <row r="728" spans="1:1" x14ac:dyDescent="0.3">
      <c r="A728" s="124"/>
    </row>
    <row r="729" spans="1:1" x14ac:dyDescent="0.3">
      <c r="A729" s="124"/>
    </row>
    <row r="730" spans="1:1" x14ac:dyDescent="0.3">
      <c r="A730" s="124"/>
    </row>
    <row r="731" spans="1:1" x14ac:dyDescent="0.3">
      <c r="A731" s="124"/>
    </row>
    <row r="732" spans="1:1" x14ac:dyDescent="0.3">
      <c r="A732" s="124"/>
    </row>
    <row r="733" spans="1:1" x14ac:dyDescent="0.3">
      <c r="A733" s="124"/>
    </row>
    <row r="734" spans="1:1" x14ac:dyDescent="0.3">
      <c r="A734" s="124"/>
    </row>
    <row r="735" spans="1:1" x14ac:dyDescent="0.3">
      <c r="A735" s="124"/>
    </row>
    <row r="736" spans="1:1" x14ac:dyDescent="0.3">
      <c r="A736" s="124"/>
    </row>
    <row r="737" spans="1:1" x14ac:dyDescent="0.3">
      <c r="A737" s="124"/>
    </row>
    <row r="738" spans="1:1" x14ac:dyDescent="0.3">
      <c r="A738" s="124"/>
    </row>
    <row r="739" spans="1:1" x14ac:dyDescent="0.3">
      <c r="A739" s="124"/>
    </row>
    <row r="740" spans="1:1" x14ac:dyDescent="0.3">
      <c r="A740" s="125"/>
    </row>
    <row r="741" spans="1:1" x14ac:dyDescent="0.3">
      <c r="A741" s="125"/>
    </row>
    <row r="742" spans="1:1" x14ac:dyDescent="0.3">
      <c r="A742" s="125"/>
    </row>
    <row r="743" spans="1:1" x14ac:dyDescent="0.3">
      <c r="A743" s="124"/>
    </row>
    <row r="744" spans="1:1" x14ac:dyDescent="0.3">
      <c r="A744" s="124"/>
    </row>
    <row r="745" spans="1:1" x14ac:dyDescent="0.3">
      <c r="A745" s="124"/>
    </row>
    <row r="746" spans="1:1" x14ac:dyDescent="0.3">
      <c r="A746" s="124"/>
    </row>
    <row r="747" spans="1:1" x14ac:dyDescent="0.3">
      <c r="A747" s="124"/>
    </row>
    <row r="748" spans="1:1" x14ac:dyDescent="0.3">
      <c r="A748" s="124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:F65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CFAE-15D6-439C-BD2C-6F209A50446F}">
  <dimension ref="A1:AC748"/>
  <sheetViews>
    <sheetView tabSelected="1" topLeftCell="I244" workbookViewId="0">
      <selection activeCell="X260" sqref="X260"/>
    </sheetView>
  </sheetViews>
  <sheetFormatPr defaultRowHeight="14.4" x14ac:dyDescent="0.3"/>
  <cols>
    <col min="1" max="1" width="12.44140625" customWidth="1"/>
    <col min="2" max="2" width="10.77734375" bestFit="1" customWidth="1"/>
    <col min="3" max="3" width="10.5546875" bestFit="1" customWidth="1"/>
    <col min="4" max="4" width="9.6640625" bestFit="1" customWidth="1"/>
    <col min="5" max="5" width="7.6640625" bestFit="1" customWidth="1"/>
    <col min="6" max="6" width="12.44140625" bestFit="1" customWidth="1"/>
    <col min="7" max="7" width="9.88671875" customWidth="1"/>
    <col min="8" max="8" width="14.77734375" customWidth="1"/>
    <col min="9" max="9" width="9.88671875" customWidth="1"/>
    <col min="10" max="10" width="10.77734375" bestFit="1" customWidth="1"/>
    <col min="11" max="11" width="9.88671875" customWidth="1"/>
    <col min="12" max="12" width="7.6640625" bestFit="1" customWidth="1"/>
    <col min="13" max="13" width="14.5546875" customWidth="1"/>
    <col min="14" max="14" width="15.109375" bestFit="1" customWidth="1"/>
    <col min="15" max="15" width="9.88671875" customWidth="1"/>
    <col min="16" max="16" width="11.109375" customWidth="1"/>
    <col min="17" max="17" width="19.109375" bestFit="1" customWidth="1"/>
    <col min="18" max="18" width="12.109375" bestFit="1" customWidth="1"/>
    <col min="20" max="20" width="8.109375" bestFit="1" customWidth="1"/>
    <col min="21" max="21" width="10.44140625" bestFit="1" customWidth="1"/>
    <col min="22" max="22" width="19.44140625" bestFit="1" customWidth="1"/>
    <col min="23" max="23" width="9.33203125" bestFit="1" customWidth="1"/>
    <col min="24" max="24" width="12.109375" bestFit="1" customWidth="1"/>
    <col min="27" max="27" width="8.5546875" bestFit="1" customWidth="1"/>
    <col min="28" max="28" width="9.88671875" customWidth="1"/>
    <col min="29" max="29" width="15.109375" bestFit="1" customWidth="1"/>
  </cols>
  <sheetData>
    <row r="1" spans="1:29" ht="15" thickBot="1" x14ac:dyDescent="0.35">
      <c r="A1" s="120" t="s">
        <v>0</v>
      </c>
      <c r="B1" s="121" t="s">
        <v>14</v>
      </c>
      <c r="C1" s="121" t="s">
        <v>1</v>
      </c>
      <c r="D1" s="121" t="s">
        <v>215</v>
      </c>
      <c r="E1" s="121" t="s">
        <v>201</v>
      </c>
      <c r="F1" s="121" t="s">
        <v>202</v>
      </c>
      <c r="G1" s="121" t="s">
        <v>205</v>
      </c>
      <c r="H1" s="121" t="s">
        <v>214</v>
      </c>
      <c r="I1" s="121" t="s">
        <v>210</v>
      </c>
      <c r="J1" s="122" t="s">
        <v>206</v>
      </c>
      <c r="K1" s="122" t="s">
        <v>204</v>
      </c>
      <c r="L1" s="122" t="s">
        <v>201</v>
      </c>
      <c r="M1" s="122" t="s">
        <v>203</v>
      </c>
      <c r="N1" s="123" t="s">
        <v>207</v>
      </c>
      <c r="O1" s="122" t="s">
        <v>208</v>
      </c>
      <c r="P1" s="120" t="s">
        <v>205</v>
      </c>
      <c r="Q1" s="143" t="s">
        <v>213</v>
      </c>
      <c r="R1" s="143" t="s">
        <v>210</v>
      </c>
      <c r="S1" s="131" t="s">
        <v>211</v>
      </c>
      <c r="T1" s="131" t="s">
        <v>201</v>
      </c>
      <c r="U1" s="131" t="s">
        <v>202</v>
      </c>
      <c r="V1" s="131" t="s">
        <v>212</v>
      </c>
      <c r="W1" s="121" t="s">
        <v>209</v>
      </c>
      <c r="X1" s="121" t="s">
        <v>210</v>
      </c>
      <c r="AA1" s="121" t="s">
        <v>215</v>
      </c>
      <c r="AB1" s="122" t="s">
        <v>204</v>
      </c>
      <c r="AC1" s="123" t="s">
        <v>207</v>
      </c>
    </row>
    <row r="2" spans="1:29" ht="15" thickTop="1" x14ac:dyDescent="0.3">
      <c r="A2" s="134">
        <v>44378</v>
      </c>
      <c r="B2" s="168">
        <v>44743</v>
      </c>
      <c r="C2" s="135">
        <f>NETWORKDAYS(A2,B2-1,Feriados!$A$2:$A$2000)</f>
        <v>252</v>
      </c>
      <c r="D2" s="128">
        <v>6.6951999999999998</v>
      </c>
      <c r="E2" s="137"/>
      <c r="F2" s="138">
        <f t="shared" ref="F2:F3" si="0">+TRUNC((1000/(1+D2/100)^(C2/252)),6)</f>
        <v>937.24928499999999</v>
      </c>
      <c r="G2" s="141">
        <f>ROUND(100*F2,2)</f>
        <v>93724.93</v>
      </c>
      <c r="H2" s="137"/>
      <c r="I2" s="139">
        <v>1</v>
      </c>
      <c r="J2" s="168">
        <v>44743</v>
      </c>
      <c r="K2" s="130">
        <v>6.6349999999999998</v>
      </c>
      <c r="L2" s="137"/>
      <c r="M2" s="137">
        <f t="shared" ref="M2:M65" si="1">+ROUND((100000/(1+K2/100)^(C2/252)),2)</f>
        <v>93777.84</v>
      </c>
      <c r="N2" s="127">
        <v>4.1500000000000004</v>
      </c>
      <c r="O2" s="140"/>
      <c r="P2" s="137">
        <f>+M2</f>
        <v>93777.84</v>
      </c>
      <c r="Q2" s="137"/>
      <c r="R2" s="139">
        <v>1</v>
      </c>
      <c r="S2" s="169">
        <f t="shared" ref="S2:S65" si="2">+D2-K2</f>
        <v>6.0200000000000031E-2</v>
      </c>
      <c r="T2" s="137"/>
      <c r="U2" s="137">
        <f>+ROUND(G2,2)</f>
        <v>93724.93</v>
      </c>
      <c r="V2" s="137"/>
      <c r="W2" s="137"/>
      <c r="X2" s="139">
        <v>1</v>
      </c>
      <c r="AA2" s="128">
        <v>6.6951999999999998</v>
      </c>
      <c r="AB2" s="130">
        <v>6.6349999999999998</v>
      </c>
      <c r="AC2" s="127">
        <v>4.1500000000000004</v>
      </c>
    </row>
    <row r="3" spans="1:29" x14ac:dyDescent="0.3">
      <c r="A3" s="134">
        <v>44379</v>
      </c>
      <c r="B3" s="134">
        <v>44743</v>
      </c>
      <c r="C3" s="135">
        <f>NETWORKDAYS(A3,B3-1,Feriados!$A$2:$A$2000)</f>
        <v>251</v>
      </c>
      <c r="D3" s="128">
        <v>6.6551</v>
      </c>
      <c r="E3" s="137">
        <f t="shared" ref="E3" si="3">+D3-D2</f>
        <v>-4.0099999999999802E-2</v>
      </c>
      <c r="F3" s="138">
        <f t="shared" si="0"/>
        <v>937.84142299999996</v>
      </c>
      <c r="G3" s="137">
        <f>ROUND(100*F3,2)</f>
        <v>93784.14</v>
      </c>
      <c r="H3" s="137">
        <f>+(G3/G2-1)*100</f>
        <v>6.3174226963957913E-2</v>
      </c>
      <c r="I3" s="139">
        <f>+I2*(1+H3/100)</f>
        <v>1.0006317422696396</v>
      </c>
      <c r="J3" s="134">
        <f t="shared" ref="J3:J66" si="4">+J2</f>
        <v>44743</v>
      </c>
      <c r="K3" s="130">
        <v>6.5949999999999998</v>
      </c>
      <c r="L3" s="137">
        <f t="shared" ref="L3:L65" si="5">+K3-K2</f>
        <v>-4.0000000000000036E-2</v>
      </c>
      <c r="M3" s="137">
        <f t="shared" si="1"/>
        <v>93836.81</v>
      </c>
      <c r="N3" s="127">
        <v>4.1500000000000004</v>
      </c>
      <c r="O3" s="140">
        <f>M3-(ROUND(((1+N2/100)^(1/252))*M2,2))</f>
        <v>43.839999999996508</v>
      </c>
      <c r="P3" s="137">
        <f t="shared" ref="P3:P66" si="6">+ROUND(((1+N2/100)^(1/252))*P2,2)+O3</f>
        <v>93836.81</v>
      </c>
      <c r="Q3" s="137">
        <f>+(P3/P2-1)*100</f>
        <v>6.2882659698715315E-2</v>
      </c>
      <c r="R3" s="139">
        <f>+R2*(1+Q3/100)</f>
        <v>1.0006288265969872</v>
      </c>
      <c r="S3" s="169">
        <f t="shared" si="2"/>
        <v>6.0100000000000264E-2</v>
      </c>
      <c r="T3" s="157">
        <f t="shared" ref="T3:T66" si="7">+S3-S2</f>
        <v>-9.9999999999766942E-5</v>
      </c>
      <c r="U3" s="137">
        <f t="shared" ref="U3:U66" si="8">+G3</f>
        <v>93784.14</v>
      </c>
      <c r="V3" s="137">
        <f t="shared" ref="V3:V66" si="9">+U3-O3</f>
        <v>93740.3</v>
      </c>
      <c r="W3" s="137">
        <f>+(V3/U2-1)*100</f>
        <v>1.6399051991844438E-2</v>
      </c>
      <c r="X3" s="139">
        <f>+X2*(1+W3/100)</f>
        <v>1.0001639905199184</v>
      </c>
      <c r="AA3" s="128">
        <v>6.6551</v>
      </c>
      <c r="AB3" s="130">
        <v>6.5949999999999998</v>
      </c>
      <c r="AC3" s="127">
        <v>4.1500000000000004</v>
      </c>
    </row>
    <row r="4" spans="1:29" x14ac:dyDescent="0.3">
      <c r="A4" s="134">
        <v>44382</v>
      </c>
      <c r="B4" s="134">
        <v>44743</v>
      </c>
      <c r="C4" s="135">
        <f>NETWORKDAYS(A4,B4-1,Feriados!$A$2:$A$2000)</f>
        <v>250</v>
      </c>
      <c r="D4" s="128">
        <v>6.74</v>
      </c>
      <c r="E4" s="137">
        <f t="shared" ref="E4:E65" si="10">+D4-D3</f>
        <v>8.4900000000000198E-2</v>
      </c>
      <c r="F4" s="138">
        <f t="shared" ref="F4:F65" si="11">+TRUNC((1000/(1+D4/100)^(C4/252)),6)</f>
        <v>937.34101399999997</v>
      </c>
      <c r="G4" s="137">
        <f t="shared" ref="G4:G67" si="12">ROUND(100*F4,2)</f>
        <v>93734.1</v>
      </c>
      <c r="H4" s="137">
        <f t="shared" ref="H4:H67" si="13">+(G4/G3-1)*100</f>
        <v>-5.3356569671580978E-2</v>
      </c>
      <c r="I4" s="139">
        <f t="shared" ref="I4:I67" si="14">+I3*(1+H4/100)</f>
        <v>1.0000978394969195</v>
      </c>
      <c r="J4" s="134">
        <f t="shared" si="4"/>
        <v>44743</v>
      </c>
      <c r="K4" s="130">
        <v>6.68</v>
      </c>
      <c r="L4" s="137">
        <f t="shared" si="5"/>
        <v>8.4999999999999964E-2</v>
      </c>
      <c r="M4" s="137">
        <f t="shared" si="1"/>
        <v>93786.4</v>
      </c>
      <c r="N4" s="127">
        <v>4.1500000000000004</v>
      </c>
      <c r="O4" s="140">
        <f t="shared" ref="O4:O67" si="15">M4-(ROUND(((1+N3/100)^(1/252))*M3,2))</f>
        <v>-65.55000000000291</v>
      </c>
      <c r="P4" s="137">
        <f t="shared" si="6"/>
        <v>93786.4</v>
      </c>
      <c r="Q4" s="137">
        <f t="shared" ref="Q4:Q65" si="16">+(P4/P3-1)*100</f>
        <v>-5.3720922524969072E-2</v>
      </c>
      <c r="R4" s="139">
        <f t="shared" ref="R4:R65" si="17">+R3*(1+Q4/100)</f>
        <v>1.0000912795602885</v>
      </c>
      <c r="S4" s="169">
        <f t="shared" si="2"/>
        <v>6.0000000000000497E-2</v>
      </c>
      <c r="T4" s="157">
        <f t="shared" si="7"/>
        <v>-9.9999999999766942E-5</v>
      </c>
      <c r="U4" s="137">
        <f t="shared" si="8"/>
        <v>93734.1</v>
      </c>
      <c r="V4" s="137">
        <f t="shared" si="9"/>
        <v>93799.650000000009</v>
      </c>
      <c r="W4" s="137">
        <f t="shared" ref="W4:W65" si="18">+(V4/U3-1)*100</f>
        <v>1.6537977530117765E-2</v>
      </c>
      <c r="X4" s="139">
        <f t="shared" ref="X4:X65" si="19">+X3*(1+W4/100)</f>
        <v>1.0003293974159349</v>
      </c>
      <c r="AA4" s="128">
        <v>6.74</v>
      </c>
      <c r="AB4" s="130">
        <v>6.68</v>
      </c>
      <c r="AC4" s="127">
        <v>4.1500000000000004</v>
      </c>
    </row>
    <row r="5" spans="1:29" x14ac:dyDescent="0.3">
      <c r="A5" s="134">
        <v>44383</v>
      </c>
      <c r="B5" s="134">
        <v>44743</v>
      </c>
      <c r="C5" s="135">
        <f>NETWORKDAYS(A5,B5-1,Feriados!$A$2:$A$2000)</f>
        <v>249</v>
      </c>
      <c r="D5" s="128">
        <v>6.83</v>
      </c>
      <c r="E5" s="137">
        <f t="shared" si="10"/>
        <v>8.9999999999999858E-2</v>
      </c>
      <c r="F5" s="138">
        <f t="shared" si="11"/>
        <v>936.80318199999999</v>
      </c>
      <c r="G5" s="137">
        <f t="shared" si="12"/>
        <v>93680.320000000007</v>
      </c>
      <c r="H5" s="137">
        <f t="shared" si="13"/>
        <v>-5.7375064144216115E-2</v>
      </c>
      <c r="I5" s="139">
        <f t="shared" si="14"/>
        <v>0.99952403272000323</v>
      </c>
      <c r="J5" s="134">
        <f t="shared" si="4"/>
        <v>44743</v>
      </c>
      <c r="K5" s="130">
        <v>6.77</v>
      </c>
      <c r="L5" s="137">
        <f t="shared" si="5"/>
        <v>8.9999999999999858E-2</v>
      </c>
      <c r="M5" s="137">
        <f t="shared" si="1"/>
        <v>93732.34</v>
      </c>
      <c r="N5" s="127">
        <v>4.1500000000000004</v>
      </c>
      <c r="O5" s="140">
        <f t="shared" si="15"/>
        <v>-69.190000000002328</v>
      </c>
      <c r="P5" s="137">
        <f t="shared" si="6"/>
        <v>93732.34</v>
      </c>
      <c r="Q5" s="137">
        <f t="shared" si="16"/>
        <v>-5.7641619680459666E-2</v>
      </c>
      <c r="R5" s="139">
        <f t="shared" si="17"/>
        <v>0.99951481074846693</v>
      </c>
      <c r="S5" s="169">
        <f t="shared" si="2"/>
        <v>6.0000000000000497E-2</v>
      </c>
      <c r="T5" s="157">
        <f t="shared" si="7"/>
        <v>0</v>
      </c>
      <c r="U5" s="137">
        <f t="shared" si="8"/>
        <v>93680.320000000007</v>
      </c>
      <c r="V5" s="137">
        <f t="shared" si="9"/>
        <v>93749.510000000009</v>
      </c>
      <c r="W5" s="137">
        <f t="shared" si="18"/>
        <v>1.6440121577954159E-2</v>
      </c>
      <c r="X5" s="139">
        <f t="shared" si="19"/>
        <v>1.00049385278505</v>
      </c>
      <c r="AA5" s="128">
        <v>6.83</v>
      </c>
      <c r="AB5" s="130">
        <v>6.77</v>
      </c>
      <c r="AC5" s="127">
        <v>4.1500000000000004</v>
      </c>
    </row>
    <row r="6" spans="1:29" x14ac:dyDescent="0.3">
      <c r="A6" s="134">
        <v>44384</v>
      </c>
      <c r="B6" s="134">
        <v>44743</v>
      </c>
      <c r="C6" s="135">
        <f>NETWORKDAYS(A6,B6-1,Feriados!$A$2:$A$2000)</f>
        <v>248</v>
      </c>
      <c r="D6" s="128">
        <v>6.8150000000000004</v>
      </c>
      <c r="E6" s="137">
        <f t="shared" si="10"/>
        <v>-1.499999999999968E-2</v>
      </c>
      <c r="F6" s="138">
        <f t="shared" si="11"/>
        <v>937.17832399999998</v>
      </c>
      <c r="G6" s="137">
        <f t="shared" si="12"/>
        <v>93717.83</v>
      </c>
      <c r="H6" s="137">
        <f t="shared" si="13"/>
        <v>4.0040426847376409E-2</v>
      </c>
      <c r="I6" s="139">
        <f t="shared" si="14"/>
        <v>0.99992424640914646</v>
      </c>
      <c r="J6" s="134">
        <f t="shared" si="4"/>
        <v>44743</v>
      </c>
      <c r="K6" s="130">
        <v>6.75</v>
      </c>
      <c r="L6" s="137">
        <f t="shared" si="5"/>
        <v>-1.9999999999999574E-2</v>
      </c>
      <c r="M6" s="137">
        <f t="shared" si="1"/>
        <v>93773.99</v>
      </c>
      <c r="N6" s="127">
        <v>4.1500000000000004</v>
      </c>
      <c r="O6" s="140">
        <f t="shared" si="15"/>
        <v>26.520000000004075</v>
      </c>
      <c r="P6" s="137">
        <f t="shared" si="6"/>
        <v>93773.99</v>
      </c>
      <c r="Q6" s="137">
        <f t="shared" si="16"/>
        <v>4.4435037042722669E-2</v>
      </c>
      <c r="R6" s="139">
        <f t="shared" si="17"/>
        <v>0.99995894552487052</v>
      </c>
      <c r="S6" s="169">
        <f t="shared" si="2"/>
        <v>6.5000000000000391E-2</v>
      </c>
      <c r="T6" s="157">
        <f t="shared" si="7"/>
        <v>4.9999999999998934E-3</v>
      </c>
      <c r="U6" s="137">
        <f t="shared" si="8"/>
        <v>93717.83</v>
      </c>
      <c r="V6" s="137">
        <f t="shared" si="9"/>
        <v>93691.31</v>
      </c>
      <c r="W6" s="137">
        <f t="shared" si="18"/>
        <v>1.1731386058455584E-2</v>
      </c>
      <c r="X6" s="139">
        <f t="shared" si="19"/>
        <v>1.0006112245814114</v>
      </c>
      <c r="AA6" s="128">
        <v>6.8150000000000004</v>
      </c>
      <c r="AB6" s="130">
        <v>6.75</v>
      </c>
      <c r="AC6" s="127">
        <v>4.1500000000000004</v>
      </c>
    </row>
    <row r="7" spans="1:29" x14ac:dyDescent="0.3">
      <c r="A7" s="134">
        <v>44385</v>
      </c>
      <c r="B7" s="134">
        <v>44743</v>
      </c>
      <c r="C7" s="135">
        <f>NETWORKDAYS(A7,B7-1,Feriados!$A$2:$A$2000)</f>
        <v>247</v>
      </c>
      <c r="D7" s="128">
        <v>6.899</v>
      </c>
      <c r="E7" s="137">
        <f t="shared" si="10"/>
        <v>8.3999999999999631E-2</v>
      </c>
      <c r="F7" s="138">
        <f t="shared" si="11"/>
        <v>936.70153300000004</v>
      </c>
      <c r="G7" s="137">
        <f t="shared" si="12"/>
        <v>93670.15</v>
      </c>
      <c r="H7" s="137">
        <f t="shared" si="13"/>
        <v>-5.0876124639254172E-2</v>
      </c>
      <c r="I7" s="139">
        <f t="shared" si="14"/>
        <v>0.99941552370324527</v>
      </c>
      <c r="J7" s="134">
        <f t="shared" si="4"/>
        <v>44743</v>
      </c>
      <c r="K7" s="130">
        <v>6.83</v>
      </c>
      <c r="L7" s="137">
        <f t="shared" si="5"/>
        <v>8.0000000000000071E-2</v>
      </c>
      <c r="M7" s="137">
        <f t="shared" si="1"/>
        <v>93729.45</v>
      </c>
      <c r="N7" s="127">
        <v>4.1500000000000004</v>
      </c>
      <c r="O7" s="140">
        <f t="shared" si="15"/>
        <v>-59.669999999998254</v>
      </c>
      <c r="P7" s="137">
        <f t="shared" si="6"/>
        <v>93729.45</v>
      </c>
      <c r="Q7" s="137">
        <f t="shared" si="16"/>
        <v>-4.7497179121858135E-2</v>
      </c>
      <c r="R7" s="139">
        <f t="shared" si="17"/>
        <v>0.99948399323336956</v>
      </c>
      <c r="S7" s="169">
        <f t="shared" si="2"/>
        <v>6.899999999999995E-2</v>
      </c>
      <c r="T7" s="157">
        <f t="shared" si="7"/>
        <v>3.9999999999995595E-3</v>
      </c>
      <c r="U7" s="137">
        <f t="shared" si="8"/>
        <v>93670.15</v>
      </c>
      <c r="V7" s="137">
        <f t="shared" si="9"/>
        <v>93729.819999999992</v>
      </c>
      <c r="W7" s="137">
        <f t="shared" si="18"/>
        <v>1.2793723456883122E-2</v>
      </c>
      <c r="X7" s="139">
        <f t="shared" si="19"/>
        <v>1.0007392400143629</v>
      </c>
      <c r="AA7" s="128">
        <v>6.899</v>
      </c>
      <c r="AB7" s="130">
        <v>6.83</v>
      </c>
      <c r="AC7" s="127">
        <v>4.1500000000000004</v>
      </c>
    </row>
    <row r="8" spans="1:29" x14ac:dyDescent="0.3">
      <c r="A8" s="144">
        <v>44386</v>
      </c>
      <c r="B8" s="144">
        <v>44743</v>
      </c>
      <c r="C8" s="145">
        <f>NETWORKDAYS(A8,B8-1,Feriados!$A$2:$A$2000)</f>
        <v>246</v>
      </c>
      <c r="D8" s="128">
        <v>6.899</v>
      </c>
      <c r="E8" s="147">
        <f t="shared" si="10"/>
        <v>0</v>
      </c>
      <c r="F8" s="148">
        <f t="shared" si="11"/>
        <v>936.94954800000005</v>
      </c>
      <c r="G8" s="147">
        <f t="shared" si="12"/>
        <v>93694.95</v>
      </c>
      <c r="H8" s="147">
        <f t="shared" si="13"/>
        <v>2.6475883726040372E-2</v>
      </c>
      <c r="I8" s="149">
        <f t="shared" si="14"/>
        <v>0.99968012779524096</v>
      </c>
      <c r="J8" s="144">
        <f t="shared" si="4"/>
        <v>44743</v>
      </c>
      <c r="K8" s="130">
        <v>6.83</v>
      </c>
      <c r="L8" s="147">
        <f t="shared" si="5"/>
        <v>0</v>
      </c>
      <c r="M8" s="147">
        <f t="shared" si="1"/>
        <v>93754.03</v>
      </c>
      <c r="N8" s="151">
        <v>4.1500000000000004</v>
      </c>
      <c r="O8" s="159">
        <f t="shared" si="15"/>
        <v>9.4499999999970896</v>
      </c>
      <c r="P8" s="147">
        <f t="shared" si="6"/>
        <v>93754.03</v>
      </c>
      <c r="Q8" s="147">
        <f t="shared" si="16"/>
        <v>2.6224415058440087E-2</v>
      </c>
      <c r="R8" s="149">
        <f t="shared" si="17"/>
        <v>0.99974610206419778</v>
      </c>
      <c r="S8" s="169">
        <f t="shared" si="2"/>
        <v>6.899999999999995E-2</v>
      </c>
      <c r="T8" s="158">
        <f t="shared" si="7"/>
        <v>0</v>
      </c>
      <c r="U8" s="147">
        <f t="shared" si="8"/>
        <v>93694.95</v>
      </c>
      <c r="V8" s="147">
        <f t="shared" si="9"/>
        <v>93685.5</v>
      </c>
      <c r="W8" s="147">
        <f t="shared" si="18"/>
        <v>1.6387290935271359E-2</v>
      </c>
      <c r="X8" s="149">
        <f t="shared" si="19"/>
        <v>1.0009032340651274</v>
      </c>
      <c r="AA8" s="128">
        <v>6.899</v>
      </c>
      <c r="AB8" s="130">
        <v>6.83</v>
      </c>
      <c r="AC8" s="127">
        <v>4.1500000000000004</v>
      </c>
    </row>
    <row r="9" spans="1:29" x14ac:dyDescent="0.3">
      <c r="A9" s="134">
        <v>44389</v>
      </c>
      <c r="B9" s="134">
        <v>44743</v>
      </c>
      <c r="C9" s="135">
        <f>NETWORKDAYS(A9,B9-1,Feriados!$A$2:$A$2000)</f>
        <v>245</v>
      </c>
      <c r="D9" s="128">
        <v>6.8914999999999997</v>
      </c>
      <c r="E9" s="137">
        <f t="shared" si="10"/>
        <v>-7.5000000000002842E-3</v>
      </c>
      <c r="F9" s="138">
        <f t="shared" si="11"/>
        <v>937.26155900000003</v>
      </c>
      <c r="G9" s="137">
        <f t="shared" si="12"/>
        <v>93726.16</v>
      </c>
      <c r="H9" s="137">
        <f t="shared" si="13"/>
        <v>3.3310226431626511E-2</v>
      </c>
      <c r="I9" s="139">
        <f t="shared" si="14"/>
        <v>1.0000131235094016</v>
      </c>
      <c r="J9" s="134">
        <f t="shared" si="4"/>
        <v>44743</v>
      </c>
      <c r="K9" s="130">
        <v>6.8250000000000002</v>
      </c>
      <c r="L9" s="137">
        <f t="shared" si="5"/>
        <v>-4.9999999999998934E-3</v>
      </c>
      <c r="M9" s="137">
        <f t="shared" si="1"/>
        <v>93782.88</v>
      </c>
      <c r="N9" s="127">
        <v>4.1500000000000004</v>
      </c>
      <c r="O9" s="159">
        <f t="shared" si="15"/>
        <v>13.720000000001164</v>
      </c>
      <c r="P9" s="137">
        <f t="shared" si="6"/>
        <v>93782.88</v>
      </c>
      <c r="Q9" s="137">
        <f t="shared" si="16"/>
        <v>3.0772010547175377E-2</v>
      </c>
      <c r="R9" s="139">
        <f t="shared" si="17"/>
        <v>1.00005374404017</v>
      </c>
      <c r="S9" s="169">
        <f t="shared" si="2"/>
        <v>6.6499999999999559E-2</v>
      </c>
      <c r="T9" s="157">
        <f t="shared" si="7"/>
        <v>-2.5000000000003908E-3</v>
      </c>
      <c r="U9" s="137">
        <f t="shared" si="8"/>
        <v>93726.16</v>
      </c>
      <c r="V9" s="137">
        <f t="shared" si="9"/>
        <v>93712.44</v>
      </c>
      <c r="W9" s="137">
        <f t="shared" si="18"/>
        <v>1.8666961239643953E-2</v>
      </c>
      <c r="X9" s="139">
        <f t="shared" si="19"/>
        <v>1.0010900722838767</v>
      </c>
      <c r="AA9" s="128">
        <v>6.8914999999999997</v>
      </c>
      <c r="AB9" s="130">
        <v>6.8250000000000002</v>
      </c>
      <c r="AC9" s="127">
        <v>4.1500000000000004</v>
      </c>
    </row>
    <row r="10" spans="1:29" x14ac:dyDescent="0.3">
      <c r="A10" s="134">
        <v>44390</v>
      </c>
      <c r="B10" s="134">
        <v>44743</v>
      </c>
      <c r="C10" s="135">
        <f>NETWORKDAYS(A10,B10-1,Feriados!$A$2:$A$2000)</f>
        <v>244</v>
      </c>
      <c r="D10" s="128">
        <v>6.9550000000000001</v>
      </c>
      <c r="E10" s="137">
        <f t="shared" si="10"/>
        <v>6.3500000000000334E-2</v>
      </c>
      <c r="F10" s="138">
        <f t="shared" si="11"/>
        <v>936.97051899999997</v>
      </c>
      <c r="G10" s="137">
        <f t="shared" si="12"/>
        <v>93697.05</v>
      </c>
      <c r="H10" s="137">
        <f t="shared" si="13"/>
        <v>-3.1058564652597376E-2</v>
      </c>
      <c r="I10" s="139">
        <f t="shared" si="14"/>
        <v>0.99970253378690199</v>
      </c>
      <c r="J10" s="134">
        <f t="shared" si="4"/>
        <v>44743</v>
      </c>
      <c r="K10" s="130">
        <v>6.89</v>
      </c>
      <c r="L10" s="137">
        <f t="shared" si="5"/>
        <v>6.4999999999999503E-2</v>
      </c>
      <c r="M10" s="137">
        <f t="shared" si="1"/>
        <v>93752.22</v>
      </c>
      <c r="N10" s="127">
        <v>4.1500000000000004</v>
      </c>
      <c r="O10" s="140">
        <f t="shared" si="15"/>
        <v>-45.789999999993597</v>
      </c>
      <c r="P10" s="137">
        <f t="shared" si="6"/>
        <v>93752.22</v>
      </c>
      <c r="Q10" s="137">
        <f t="shared" si="16"/>
        <v>-3.2692534074452162E-2</v>
      </c>
      <c r="R10" s="139">
        <f t="shared" si="17"/>
        <v>0.99972680112913681</v>
      </c>
      <c r="S10" s="169">
        <f t="shared" si="2"/>
        <v>6.5000000000000391E-2</v>
      </c>
      <c r="T10" s="157">
        <f t="shared" si="7"/>
        <v>-1.4999999999991687E-3</v>
      </c>
      <c r="U10" s="137">
        <f t="shared" si="8"/>
        <v>93697.05</v>
      </c>
      <c r="V10" s="137">
        <f t="shared" si="9"/>
        <v>93742.84</v>
      </c>
      <c r="W10" s="137">
        <f t="shared" si="18"/>
        <v>1.7796525537794317E-2</v>
      </c>
      <c r="X10" s="139">
        <f t="shared" si="19"/>
        <v>1.0012682315342469</v>
      </c>
      <c r="AA10" s="128">
        <v>6.9550000000000001</v>
      </c>
      <c r="AB10" s="130">
        <v>6.89</v>
      </c>
      <c r="AC10" s="127">
        <v>4.1500000000000004</v>
      </c>
    </row>
    <row r="11" spans="1:29" x14ac:dyDescent="0.3">
      <c r="A11" s="134">
        <v>44391</v>
      </c>
      <c r="B11" s="134">
        <v>44743</v>
      </c>
      <c r="C11" s="135">
        <f>NETWORKDAYS(A11,B11-1,Feriados!$A$2:$A$2000)</f>
        <v>243</v>
      </c>
      <c r="D11" s="128">
        <v>6.86</v>
      </c>
      <c r="E11" s="137">
        <f t="shared" si="10"/>
        <v>-9.4999999999999751E-2</v>
      </c>
      <c r="F11" s="138">
        <f t="shared" si="11"/>
        <v>938.02398500000004</v>
      </c>
      <c r="G11" s="137">
        <f t="shared" si="12"/>
        <v>93802.4</v>
      </c>
      <c r="H11" s="137">
        <f t="shared" si="13"/>
        <v>0.11243683765922441</v>
      </c>
      <c r="I11" s="139">
        <f t="shared" si="14"/>
        <v>1.000826567701891</v>
      </c>
      <c r="J11" s="134">
        <f t="shared" si="4"/>
        <v>44743</v>
      </c>
      <c r="K11" s="130">
        <v>6.7949999999999999</v>
      </c>
      <c r="L11" s="137">
        <f t="shared" si="5"/>
        <v>-9.4999999999999751E-2</v>
      </c>
      <c r="M11" s="137">
        <f t="shared" si="1"/>
        <v>93857.45</v>
      </c>
      <c r="N11" s="127">
        <v>4.1500000000000004</v>
      </c>
      <c r="O11" s="140">
        <f t="shared" si="15"/>
        <v>90.099999999991269</v>
      </c>
      <c r="P11" s="137">
        <f t="shared" si="6"/>
        <v>93857.45</v>
      </c>
      <c r="Q11" s="137">
        <f t="shared" si="16"/>
        <v>0.11224267542677691</v>
      </c>
      <c r="R11" s="139">
        <f t="shared" si="17"/>
        <v>1.0008489212376828</v>
      </c>
      <c r="S11" s="169">
        <f t="shared" si="2"/>
        <v>6.5000000000000391E-2</v>
      </c>
      <c r="T11" s="157">
        <f t="shared" si="7"/>
        <v>0</v>
      </c>
      <c r="U11" s="137">
        <f t="shared" si="8"/>
        <v>93802.4</v>
      </c>
      <c r="V11" s="137">
        <f t="shared" si="9"/>
        <v>93712.3</v>
      </c>
      <c r="W11" s="137">
        <f t="shared" si="18"/>
        <v>1.6275859271974724E-2</v>
      </c>
      <c r="X11" s="139">
        <f t="shared" si="19"/>
        <v>1.0014311965425464</v>
      </c>
      <c r="AA11" s="128">
        <v>6.86</v>
      </c>
      <c r="AB11" s="130">
        <v>6.7949999999999999</v>
      </c>
      <c r="AC11" s="127">
        <v>4.1500000000000004</v>
      </c>
    </row>
    <row r="12" spans="1:29" x14ac:dyDescent="0.3">
      <c r="A12" s="134">
        <v>44392</v>
      </c>
      <c r="B12" s="134">
        <v>44743</v>
      </c>
      <c r="C12" s="135">
        <f>NETWORKDAYS(A12,B12-1,Feriados!$A$2:$A$2000)</f>
        <v>242</v>
      </c>
      <c r="D12" s="128">
        <v>6.9050000000000002</v>
      </c>
      <c r="E12" s="137">
        <f t="shared" si="10"/>
        <v>4.4999999999999929E-2</v>
      </c>
      <c r="F12" s="138">
        <f t="shared" si="11"/>
        <v>937.89170899999999</v>
      </c>
      <c r="G12" s="137">
        <f t="shared" si="12"/>
        <v>93789.17</v>
      </c>
      <c r="H12" s="137">
        <f t="shared" si="13"/>
        <v>-1.4104116739011019E-2</v>
      </c>
      <c r="I12" s="139">
        <f t="shared" si="14"/>
        <v>1.0006854099544273</v>
      </c>
      <c r="J12" s="134">
        <f t="shared" si="4"/>
        <v>44743</v>
      </c>
      <c r="K12" s="130">
        <v>6.84</v>
      </c>
      <c r="L12" s="137">
        <f t="shared" si="5"/>
        <v>4.4999999999999929E-2</v>
      </c>
      <c r="M12" s="137">
        <f t="shared" si="1"/>
        <v>93843.97</v>
      </c>
      <c r="N12" s="127">
        <v>4.1500000000000004</v>
      </c>
      <c r="O12" s="140">
        <f t="shared" si="15"/>
        <v>-28.630000000004657</v>
      </c>
      <c r="P12" s="137">
        <f t="shared" si="6"/>
        <v>93843.97</v>
      </c>
      <c r="Q12" s="137">
        <f t="shared" si="16"/>
        <v>-1.4362205664009142E-2</v>
      </c>
      <c r="R12" s="139">
        <f t="shared" si="17"/>
        <v>1.0007051772572286</v>
      </c>
      <c r="S12" s="169">
        <f t="shared" si="2"/>
        <v>6.5000000000000391E-2</v>
      </c>
      <c r="T12" s="157">
        <f t="shared" si="7"/>
        <v>0</v>
      </c>
      <c r="U12" s="137">
        <f t="shared" si="8"/>
        <v>93789.17</v>
      </c>
      <c r="V12" s="137">
        <f t="shared" si="9"/>
        <v>93817.8</v>
      </c>
      <c r="W12" s="137">
        <f t="shared" si="18"/>
        <v>1.6417490384057487E-2</v>
      </c>
      <c r="X12" s="139">
        <f t="shared" si="19"/>
        <v>1.0015956064129417</v>
      </c>
      <c r="AA12" s="128">
        <v>6.9050000000000002</v>
      </c>
      <c r="AB12" s="130">
        <v>6.84</v>
      </c>
      <c r="AC12" s="127">
        <v>4.1500000000000004</v>
      </c>
    </row>
    <row r="13" spans="1:29" x14ac:dyDescent="0.3">
      <c r="A13" s="134">
        <v>44393</v>
      </c>
      <c r="B13" s="134">
        <v>44743</v>
      </c>
      <c r="C13" s="135">
        <f>NETWORKDAYS(A13,B13-1,Feriados!$A$2:$A$2000)</f>
        <v>241</v>
      </c>
      <c r="D13" s="128">
        <v>6.8650000000000002</v>
      </c>
      <c r="E13" s="137">
        <f t="shared" si="10"/>
        <v>-4.0000000000000036E-2</v>
      </c>
      <c r="F13" s="138">
        <f t="shared" si="11"/>
        <v>938.47606699999994</v>
      </c>
      <c r="G13" s="137">
        <f t="shared" si="12"/>
        <v>93847.61</v>
      </c>
      <c r="H13" s="137">
        <f t="shared" si="13"/>
        <v>6.2309966065376976E-2</v>
      </c>
      <c r="I13" s="139">
        <f t="shared" si="14"/>
        <v>1.0013089366937911</v>
      </c>
      <c r="J13" s="134">
        <f t="shared" si="4"/>
        <v>44743</v>
      </c>
      <c r="K13" s="130">
        <v>6.8</v>
      </c>
      <c r="L13" s="137">
        <f t="shared" si="5"/>
        <v>-4.0000000000000036E-2</v>
      </c>
      <c r="M13" s="137">
        <f t="shared" si="1"/>
        <v>93902.23</v>
      </c>
      <c r="N13" s="127">
        <v>4.1500000000000004</v>
      </c>
      <c r="O13" s="140">
        <f t="shared" si="15"/>
        <v>43.119999999995343</v>
      </c>
      <c r="P13" s="137">
        <f t="shared" si="6"/>
        <v>93902.23</v>
      </c>
      <c r="Q13" s="137">
        <f t="shared" si="16"/>
        <v>6.2081772542232905E-2</v>
      </c>
      <c r="R13" s="139">
        <f t="shared" si="17"/>
        <v>1.0013264327691918</v>
      </c>
      <c r="S13" s="169">
        <f t="shared" si="2"/>
        <v>6.5000000000000391E-2</v>
      </c>
      <c r="T13" s="157">
        <f t="shared" si="7"/>
        <v>0</v>
      </c>
      <c r="U13" s="137">
        <f t="shared" si="8"/>
        <v>93847.61</v>
      </c>
      <c r="V13" s="137">
        <f t="shared" si="9"/>
        <v>93804.49</v>
      </c>
      <c r="W13" s="137">
        <f t="shared" si="18"/>
        <v>1.6334508557869221E-2</v>
      </c>
      <c r="X13" s="139">
        <f t="shared" si="19"/>
        <v>1.0017592121329864</v>
      </c>
      <c r="AA13" s="128">
        <v>6.8650000000000002</v>
      </c>
      <c r="AB13" s="130">
        <v>6.8</v>
      </c>
      <c r="AC13" s="127">
        <v>4.1500000000000004</v>
      </c>
    </row>
    <row r="14" spans="1:29" x14ac:dyDescent="0.3">
      <c r="A14" s="134">
        <v>44396</v>
      </c>
      <c r="B14" s="134">
        <v>44743</v>
      </c>
      <c r="C14" s="135">
        <f>NETWORKDAYS(A14,B14-1,Feriados!$A$2:$A$2000)</f>
        <v>240</v>
      </c>
      <c r="D14" s="128">
        <v>6.7968000000000002</v>
      </c>
      <c r="E14" s="137">
        <f t="shared" si="10"/>
        <v>-6.8200000000000038E-2</v>
      </c>
      <c r="F14" s="138">
        <f t="shared" si="11"/>
        <v>939.29427699999997</v>
      </c>
      <c r="G14" s="137">
        <f t="shared" si="12"/>
        <v>93929.43</v>
      </c>
      <c r="H14" s="137">
        <f t="shared" si="13"/>
        <v>8.7183893122033673E-2</v>
      </c>
      <c r="I14" s="139">
        <f t="shared" si="14"/>
        <v>1.0021819168069797</v>
      </c>
      <c r="J14" s="134">
        <f t="shared" si="4"/>
        <v>44743</v>
      </c>
      <c r="K14" s="130">
        <v>6.7350000000000003</v>
      </c>
      <c r="L14" s="137">
        <f t="shared" si="5"/>
        <v>-6.4999999999999503E-2</v>
      </c>
      <c r="M14" s="137">
        <f t="shared" si="1"/>
        <v>93981.22</v>
      </c>
      <c r="N14" s="127">
        <v>4.1500000000000004</v>
      </c>
      <c r="O14" s="140">
        <f t="shared" si="15"/>
        <v>63.839999999996508</v>
      </c>
      <c r="P14" s="137">
        <f t="shared" si="6"/>
        <v>93981.22</v>
      </c>
      <c r="Q14" s="137">
        <f t="shared" si="16"/>
        <v>8.411940802683926E-2</v>
      </c>
      <c r="R14" s="139">
        <f t="shared" si="17"/>
        <v>1.0021687426368535</v>
      </c>
      <c r="S14" s="169">
        <f t="shared" si="2"/>
        <v>6.1799999999999855E-2</v>
      </c>
      <c r="T14" s="157">
        <f t="shared" si="7"/>
        <v>-3.2000000000005357E-3</v>
      </c>
      <c r="U14" s="137">
        <f t="shared" si="8"/>
        <v>93929.43</v>
      </c>
      <c r="V14" s="137">
        <f t="shared" si="9"/>
        <v>93865.59</v>
      </c>
      <c r="W14" s="137">
        <f t="shared" si="18"/>
        <v>1.9158719119216627E-2</v>
      </c>
      <c r="X14" s="139">
        <f t="shared" si="19"/>
        <v>1.0019511363666898</v>
      </c>
      <c r="AA14" s="128">
        <v>6.7968000000000002</v>
      </c>
      <c r="AB14" s="130">
        <v>6.7350000000000003</v>
      </c>
      <c r="AC14" s="127">
        <v>4.1500000000000004</v>
      </c>
    </row>
    <row r="15" spans="1:29" x14ac:dyDescent="0.3">
      <c r="A15" s="134">
        <v>44397</v>
      </c>
      <c r="B15" s="134">
        <v>44743</v>
      </c>
      <c r="C15" s="135">
        <f>NETWORKDAYS(A15,B15-1,Feriados!$A$2:$A$2000)</f>
        <v>239</v>
      </c>
      <c r="D15" s="128">
        <v>6.7123999999999997</v>
      </c>
      <c r="E15" s="137">
        <f t="shared" si="10"/>
        <v>-8.4400000000000475E-2</v>
      </c>
      <c r="F15" s="138">
        <f t="shared" si="11"/>
        <v>940.24415499999998</v>
      </c>
      <c r="G15" s="137">
        <f t="shared" si="12"/>
        <v>94024.42</v>
      </c>
      <c r="H15" s="137">
        <f t="shared" si="13"/>
        <v>0.10112911363351351</v>
      </c>
      <c r="I15" s="139">
        <f t="shared" si="14"/>
        <v>1.0031954144964419</v>
      </c>
      <c r="J15" s="134">
        <f t="shared" si="4"/>
        <v>44743</v>
      </c>
      <c r="K15" s="130">
        <v>6.66</v>
      </c>
      <c r="L15" s="137">
        <f t="shared" si="5"/>
        <v>-7.5000000000000178E-2</v>
      </c>
      <c r="M15" s="137">
        <f t="shared" si="1"/>
        <v>94068.22</v>
      </c>
      <c r="N15" s="127">
        <v>4.1500000000000004</v>
      </c>
      <c r="O15" s="140">
        <f t="shared" si="15"/>
        <v>71.830000000001746</v>
      </c>
      <c r="P15" s="137">
        <f t="shared" si="6"/>
        <v>94068.22</v>
      </c>
      <c r="Q15" s="137">
        <f t="shared" si="16"/>
        <v>9.2571686130482611E-2</v>
      </c>
      <c r="R15" s="139">
        <f t="shared" si="17"/>
        <v>1.0030964671397851</v>
      </c>
      <c r="S15" s="169">
        <f t="shared" si="2"/>
        <v>5.2399999999999558E-2</v>
      </c>
      <c r="T15" s="157">
        <f t="shared" si="7"/>
        <v>-9.400000000000297E-3</v>
      </c>
      <c r="U15" s="137">
        <f t="shared" si="8"/>
        <v>94024.42</v>
      </c>
      <c r="V15" s="137">
        <f t="shared" si="9"/>
        <v>93952.59</v>
      </c>
      <c r="W15" s="137">
        <f t="shared" si="18"/>
        <v>2.4656808840428646E-2</v>
      </c>
      <c r="X15" s="139">
        <f t="shared" si="19"/>
        <v>1.0021981855430582</v>
      </c>
      <c r="AA15" s="128">
        <v>6.7123999999999997</v>
      </c>
      <c r="AB15" s="130">
        <v>6.66</v>
      </c>
      <c r="AC15" s="127">
        <v>4.1500000000000004</v>
      </c>
    </row>
    <row r="16" spans="1:29" x14ac:dyDescent="0.3">
      <c r="A16" s="134">
        <v>44398</v>
      </c>
      <c r="B16" s="134">
        <v>44743</v>
      </c>
      <c r="C16" s="135">
        <f>NETWORKDAYS(A16,B16-1,Feriados!$A$2:$A$2000)</f>
        <v>238</v>
      </c>
      <c r="D16" s="128">
        <v>6.7447999999999997</v>
      </c>
      <c r="E16" s="137">
        <f t="shared" si="10"/>
        <v>3.2399999999999984E-2</v>
      </c>
      <c r="F16" s="138">
        <f t="shared" si="11"/>
        <v>940.21698000000004</v>
      </c>
      <c r="G16" s="137">
        <f t="shared" si="12"/>
        <v>94021.7</v>
      </c>
      <c r="H16" s="137">
        <f t="shared" si="13"/>
        <v>-2.8928654917548258E-3</v>
      </c>
      <c r="I16" s="139">
        <f t="shared" si="14"/>
        <v>1.003166393402481</v>
      </c>
      <c r="J16" s="134">
        <f t="shared" si="4"/>
        <v>44743</v>
      </c>
      <c r="K16" s="130">
        <v>6.6950000000000003</v>
      </c>
      <c r="L16" s="137">
        <f t="shared" si="5"/>
        <v>3.5000000000000142E-2</v>
      </c>
      <c r="M16" s="137">
        <f t="shared" si="1"/>
        <v>94063.14</v>
      </c>
      <c r="N16" s="127">
        <v>4.1500000000000004</v>
      </c>
      <c r="O16" s="140">
        <f t="shared" si="15"/>
        <v>-20.259999999994761</v>
      </c>
      <c r="P16" s="137">
        <f t="shared" si="6"/>
        <v>94063.14</v>
      </c>
      <c r="Q16" s="137">
        <f t="shared" si="16"/>
        <v>-5.4003360539844891E-3</v>
      </c>
      <c r="R16" s="139">
        <f t="shared" si="17"/>
        <v>1.003042296559614</v>
      </c>
      <c r="S16" s="169">
        <f t="shared" si="2"/>
        <v>4.97999999999994E-2</v>
      </c>
      <c r="T16" s="157">
        <f t="shared" si="7"/>
        <v>-2.6000000000001577E-3</v>
      </c>
      <c r="U16" s="137">
        <f t="shared" si="8"/>
        <v>94021.7</v>
      </c>
      <c r="V16" s="137">
        <f t="shared" si="9"/>
        <v>94041.959999999992</v>
      </c>
      <c r="W16" s="137">
        <f t="shared" si="18"/>
        <v>1.8654728207834204E-2</v>
      </c>
      <c r="X16" s="139">
        <f t="shared" si="19"/>
        <v>1.0023851428906752</v>
      </c>
      <c r="AA16" s="128">
        <v>6.7447999999999997</v>
      </c>
      <c r="AB16" s="130">
        <v>6.6950000000000003</v>
      </c>
      <c r="AC16" s="127">
        <v>4.1500000000000004</v>
      </c>
    </row>
    <row r="17" spans="1:29" x14ac:dyDescent="0.3">
      <c r="A17" s="134">
        <v>44399</v>
      </c>
      <c r="B17" s="134">
        <v>44743</v>
      </c>
      <c r="C17" s="135">
        <f>NETWORKDAYS(A17,B17-1,Feriados!$A$2:$A$2000)</f>
        <v>237</v>
      </c>
      <c r="D17" s="128">
        <v>6.8160999999999996</v>
      </c>
      <c r="E17" s="137">
        <f t="shared" si="10"/>
        <v>7.1299999999999919E-2</v>
      </c>
      <c r="F17" s="138">
        <f t="shared" si="11"/>
        <v>939.87013300000001</v>
      </c>
      <c r="G17" s="137">
        <f t="shared" si="12"/>
        <v>93987.01</v>
      </c>
      <c r="H17" s="137">
        <f t="shared" si="13"/>
        <v>-3.6895737898812175E-2</v>
      </c>
      <c r="I17" s="139">
        <f t="shared" si="14"/>
        <v>1.0027962677592823</v>
      </c>
      <c r="J17" s="134">
        <f t="shared" si="4"/>
        <v>44743</v>
      </c>
      <c r="K17" s="130">
        <v>6.7649999999999997</v>
      </c>
      <c r="L17" s="137">
        <f t="shared" si="5"/>
        <v>6.9999999999999396E-2</v>
      </c>
      <c r="M17" s="137">
        <f t="shared" si="1"/>
        <v>94029.32</v>
      </c>
      <c r="N17" s="127">
        <v>4.1500000000000004</v>
      </c>
      <c r="O17" s="140">
        <f t="shared" si="15"/>
        <v>-49</v>
      </c>
      <c r="P17" s="137">
        <f t="shared" si="6"/>
        <v>94029.32</v>
      </c>
      <c r="Q17" s="137">
        <f t="shared" si="16"/>
        <v>-3.5954572641305749E-2</v>
      </c>
      <c r="R17" s="139">
        <f t="shared" si="17"/>
        <v>1.0026816569884744</v>
      </c>
      <c r="S17" s="169">
        <f t="shared" si="2"/>
        <v>5.1099999999999923E-2</v>
      </c>
      <c r="T17" s="157">
        <f t="shared" si="7"/>
        <v>1.300000000000523E-3</v>
      </c>
      <c r="U17" s="137">
        <f t="shared" si="8"/>
        <v>93987.01</v>
      </c>
      <c r="V17" s="137">
        <f t="shared" si="9"/>
        <v>94036.01</v>
      </c>
      <c r="W17" s="137">
        <f t="shared" si="18"/>
        <v>1.5219890727347085E-2</v>
      </c>
      <c r="X17" s="139">
        <f t="shared" si="19"/>
        <v>1.0025377048140902</v>
      </c>
      <c r="AA17" s="128">
        <v>6.8160999999999996</v>
      </c>
      <c r="AB17" s="130">
        <v>6.7649999999999997</v>
      </c>
      <c r="AC17" s="127">
        <v>4.1500000000000004</v>
      </c>
    </row>
    <row r="18" spans="1:29" x14ac:dyDescent="0.3">
      <c r="A18" s="134">
        <v>44400</v>
      </c>
      <c r="B18" s="134">
        <v>44743</v>
      </c>
      <c r="C18" s="135">
        <f>NETWORKDAYS(A18,B18-1,Feriados!$A$2:$A$2000)</f>
        <v>236</v>
      </c>
      <c r="D18" s="128">
        <v>7.09</v>
      </c>
      <c r="E18" s="137">
        <f t="shared" si="10"/>
        <v>0.27390000000000025</v>
      </c>
      <c r="F18" s="138">
        <f t="shared" si="11"/>
        <v>937.86407699999995</v>
      </c>
      <c r="G18" s="137">
        <f t="shared" si="12"/>
        <v>93786.41</v>
      </c>
      <c r="H18" s="137">
        <f t="shared" si="13"/>
        <v>-0.21343375004694298</v>
      </c>
      <c r="I18" s="139">
        <f t="shared" si="14"/>
        <v>1.0006559620796729</v>
      </c>
      <c r="J18" s="134">
        <f t="shared" si="4"/>
        <v>44743</v>
      </c>
      <c r="K18" s="130">
        <v>7.04</v>
      </c>
      <c r="L18" s="137">
        <f t="shared" si="5"/>
        <v>0.27500000000000036</v>
      </c>
      <c r="M18" s="137">
        <f t="shared" si="1"/>
        <v>93827.43</v>
      </c>
      <c r="N18" s="127">
        <v>4.1500000000000004</v>
      </c>
      <c r="O18" s="140">
        <f t="shared" si="15"/>
        <v>-217.06000000001222</v>
      </c>
      <c r="P18" s="137">
        <f t="shared" si="6"/>
        <v>93827.43</v>
      </c>
      <c r="Q18" s="137">
        <f t="shared" si="16"/>
        <v>-0.21470962461497267</v>
      </c>
      <c r="R18" s="139">
        <f t="shared" si="17"/>
        <v>1.0005288029666712</v>
      </c>
      <c r="S18" s="169">
        <f t="shared" si="2"/>
        <v>4.9999999999999822E-2</v>
      </c>
      <c r="T18" s="157">
        <f t="shared" si="7"/>
        <v>-1.1000000000001009E-3</v>
      </c>
      <c r="U18" s="137">
        <f t="shared" si="8"/>
        <v>93786.41</v>
      </c>
      <c r="V18" s="137">
        <f t="shared" si="9"/>
        <v>94003.470000000016</v>
      </c>
      <c r="W18" s="137">
        <f t="shared" si="18"/>
        <v>1.7513058453522135E-2</v>
      </c>
      <c r="X18" s="139">
        <f t="shared" si="19"/>
        <v>1.0027132798283529</v>
      </c>
      <c r="AA18" s="128">
        <v>7.09</v>
      </c>
      <c r="AB18" s="130">
        <v>7.04</v>
      </c>
      <c r="AC18" s="127">
        <v>4.1500000000000004</v>
      </c>
    </row>
    <row r="19" spans="1:29" x14ac:dyDescent="0.3">
      <c r="A19" s="134">
        <v>44403</v>
      </c>
      <c r="B19" s="134">
        <v>44743</v>
      </c>
      <c r="C19" s="135">
        <f>NETWORKDAYS(A19,B19-1,Feriados!$A$2:$A$2000)</f>
        <v>235</v>
      </c>
      <c r="D19" s="128">
        <v>7.1849999999999996</v>
      </c>
      <c r="E19" s="137">
        <f t="shared" si="10"/>
        <v>9.4999999999999751E-2</v>
      </c>
      <c r="F19" s="138">
        <f t="shared" si="11"/>
        <v>937.34364100000005</v>
      </c>
      <c r="G19" s="137">
        <f t="shared" si="12"/>
        <v>93734.36</v>
      </c>
      <c r="H19" s="137">
        <f t="shared" si="13"/>
        <v>-5.549844588358388E-2</v>
      </c>
      <c r="I19" s="139">
        <f t="shared" si="14"/>
        <v>1.0001006135720774</v>
      </c>
      <c r="J19" s="134">
        <f t="shared" si="4"/>
        <v>44743</v>
      </c>
      <c r="K19" s="130">
        <v>7.1349999999999998</v>
      </c>
      <c r="L19" s="137">
        <f t="shared" si="5"/>
        <v>9.4999999999999751E-2</v>
      </c>
      <c r="M19" s="137">
        <f t="shared" si="1"/>
        <v>93775.16</v>
      </c>
      <c r="N19" s="127">
        <v>4.1500000000000004</v>
      </c>
      <c r="O19" s="140">
        <f t="shared" si="15"/>
        <v>-67.410000000003492</v>
      </c>
      <c r="P19" s="137">
        <f t="shared" si="6"/>
        <v>93775.16</v>
      </c>
      <c r="Q19" s="137">
        <f t="shared" si="16"/>
        <v>-5.5708655773678561E-2</v>
      </c>
      <c r="R19" s="139">
        <f t="shared" si="17"/>
        <v>0.99997142181991006</v>
      </c>
      <c r="S19" s="169">
        <f t="shared" si="2"/>
        <v>4.9999999999999822E-2</v>
      </c>
      <c r="T19" s="157">
        <f t="shared" si="7"/>
        <v>0</v>
      </c>
      <c r="U19" s="137">
        <f t="shared" si="8"/>
        <v>93734.36</v>
      </c>
      <c r="V19" s="137">
        <f t="shared" si="9"/>
        <v>93801.77</v>
      </c>
      <c r="W19" s="137">
        <f t="shared" si="18"/>
        <v>1.6377639361619956E-2</v>
      </c>
      <c r="X19" s="139">
        <f t="shared" si="19"/>
        <v>1.0028775005931543</v>
      </c>
      <c r="AA19" s="128">
        <v>7.1849999999999996</v>
      </c>
      <c r="AB19" s="130">
        <v>7.1349999999999998</v>
      </c>
      <c r="AC19" s="127">
        <v>4.1500000000000004</v>
      </c>
    </row>
    <row r="20" spans="1:29" x14ac:dyDescent="0.3">
      <c r="A20" s="134">
        <v>44404</v>
      </c>
      <c r="B20" s="134">
        <v>44743</v>
      </c>
      <c r="C20" s="135">
        <f>NETWORKDAYS(A20,B20-1,Feriados!$A$2:$A$2000)</f>
        <v>234</v>
      </c>
      <c r="D20" s="128">
        <v>7.2735000000000003</v>
      </c>
      <c r="E20" s="137">
        <f t="shared" si="10"/>
        <v>8.8500000000000689E-2</v>
      </c>
      <c r="F20" s="138">
        <f t="shared" si="11"/>
        <v>936.88348099999996</v>
      </c>
      <c r="G20" s="137">
        <f t="shared" si="12"/>
        <v>93688.35</v>
      </c>
      <c r="H20" s="137">
        <f t="shared" si="13"/>
        <v>-4.9085522107361612E-2</v>
      </c>
      <c r="I20" s="139">
        <f t="shared" si="14"/>
        <v>0.99960970896430656</v>
      </c>
      <c r="J20" s="134">
        <f t="shared" si="4"/>
        <v>44743</v>
      </c>
      <c r="K20" s="130">
        <v>7.22</v>
      </c>
      <c r="L20" s="137">
        <f t="shared" si="5"/>
        <v>8.4999999999999964E-2</v>
      </c>
      <c r="M20" s="137">
        <f t="shared" si="1"/>
        <v>93731.76</v>
      </c>
      <c r="N20" s="127">
        <v>4.1500000000000004</v>
      </c>
      <c r="O20" s="140">
        <f t="shared" si="15"/>
        <v>-58.529999999998836</v>
      </c>
      <c r="P20" s="137">
        <f t="shared" si="6"/>
        <v>93731.76</v>
      </c>
      <c r="Q20" s="137">
        <f t="shared" si="16"/>
        <v>-4.6280912770513272E-2</v>
      </c>
      <c r="R20" s="139">
        <f t="shared" si="17"/>
        <v>0.99950862591844747</v>
      </c>
      <c r="S20" s="169">
        <f t="shared" si="2"/>
        <v>5.3500000000000547E-2</v>
      </c>
      <c r="T20" s="157">
        <f t="shared" si="7"/>
        <v>3.5000000000007248E-3</v>
      </c>
      <c r="U20" s="137">
        <f t="shared" si="8"/>
        <v>93688.35</v>
      </c>
      <c r="V20" s="137">
        <f t="shared" si="9"/>
        <v>93746.880000000005</v>
      </c>
      <c r="W20" s="137">
        <f t="shared" si="18"/>
        <v>1.3356894952942788E-2</v>
      </c>
      <c r="X20" s="139">
        <f t="shared" si="19"/>
        <v>1.0030114538874153</v>
      </c>
      <c r="AA20" s="128">
        <v>7.2735000000000003</v>
      </c>
      <c r="AB20" s="130">
        <v>7.22</v>
      </c>
      <c r="AC20" s="127">
        <v>4.1500000000000004</v>
      </c>
    </row>
    <row r="21" spans="1:29" x14ac:dyDescent="0.3">
      <c r="A21" s="134">
        <v>44405</v>
      </c>
      <c r="B21" s="134">
        <v>44743</v>
      </c>
      <c r="C21" s="135">
        <f>NETWORKDAYS(A21,B21-1,Feriados!$A$2:$A$2000)</f>
        <v>233</v>
      </c>
      <c r="D21" s="128">
        <v>7.32</v>
      </c>
      <c r="E21" s="137">
        <f t="shared" si="10"/>
        <v>4.6499999999999986E-2</v>
      </c>
      <c r="F21" s="138">
        <f t="shared" si="11"/>
        <v>936.76910799999996</v>
      </c>
      <c r="G21" s="137">
        <f t="shared" si="12"/>
        <v>93676.91</v>
      </c>
      <c r="H21" s="137">
        <f t="shared" si="13"/>
        <v>-1.221069642063366E-2</v>
      </c>
      <c r="I21" s="139">
        <f t="shared" si="14"/>
        <v>0.99948764965735371</v>
      </c>
      <c r="J21" s="134">
        <f t="shared" si="4"/>
        <v>44743</v>
      </c>
      <c r="K21" s="130">
        <v>7.2649999999999997</v>
      </c>
      <c r="L21" s="137">
        <f t="shared" si="5"/>
        <v>4.4999999999999929E-2</v>
      </c>
      <c r="M21" s="137">
        <f t="shared" si="1"/>
        <v>93721.32</v>
      </c>
      <c r="N21" s="127">
        <v>4.1500000000000004</v>
      </c>
      <c r="O21" s="140">
        <f t="shared" si="15"/>
        <v>-25.569999999992433</v>
      </c>
      <c r="P21" s="137">
        <f t="shared" si="6"/>
        <v>93721.32</v>
      </c>
      <c r="Q21" s="137">
        <f t="shared" si="16"/>
        <v>-1.1138167041768732E-2</v>
      </c>
      <c r="R21" s="139">
        <f t="shared" si="17"/>
        <v>0.99939729897809582</v>
      </c>
      <c r="S21" s="169">
        <f t="shared" si="2"/>
        <v>5.5000000000000604E-2</v>
      </c>
      <c r="T21" s="157">
        <f t="shared" si="7"/>
        <v>1.5000000000000568E-3</v>
      </c>
      <c r="U21" s="137">
        <f t="shared" si="8"/>
        <v>93676.91</v>
      </c>
      <c r="V21" s="137">
        <f t="shared" si="9"/>
        <v>93702.48</v>
      </c>
      <c r="W21" s="137">
        <f t="shared" si="18"/>
        <v>1.5081917869186334E-2</v>
      </c>
      <c r="X21" s="139">
        <f t="shared" si="19"/>
        <v>1.0031627272511092</v>
      </c>
      <c r="AA21" s="128">
        <v>7.32</v>
      </c>
      <c r="AB21" s="130">
        <v>7.2649999999999997</v>
      </c>
      <c r="AC21" s="127">
        <v>4.1500000000000004</v>
      </c>
    </row>
    <row r="22" spans="1:29" x14ac:dyDescent="0.3">
      <c r="A22" s="134">
        <v>44406</v>
      </c>
      <c r="B22" s="134">
        <v>44743</v>
      </c>
      <c r="C22" s="135">
        <f>NETWORKDAYS(A22,B22-1,Feriados!$A$2:$A$2000)</f>
        <v>232</v>
      </c>
      <c r="D22" s="128">
        <v>7.2417999999999996</v>
      </c>
      <c r="E22" s="137">
        <f t="shared" si="10"/>
        <v>-7.8200000000000713E-2</v>
      </c>
      <c r="F22" s="138">
        <f t="shared" si="11"/>
        <v>937.66078600000003</v>
      </c>
      <c r="G22" s="137">
        <f t="shared" si="12"/>
        <v>93766.080000000002</v>
      </c>
      <c r="H22" s="137">
        <f t="shared" si="13"/>
        <v>9.5188878454677273E-2</v>
      </c>
      <c r="I22" s="139">
        <f t="shared" si="14"/>
        <v>1.0004390507413556</v>
      </c>
      <c r="J22" s="134">
        <f t="shared" si="4"/>
        <v>44743</v>
      </c>
      <c r="K22" s="130">
        <v>7.19</v>
      </c>
      <c r="L22" s="137">
        <f t="shared" si="5"/>
        <v>-7.4999999999999289E-2</v>
      </c>
      <c r="M22" s="137">
        <f t="shared" si="1"/>
        <v>93807.79</v>
      </c>
      <c r="N22" s="127">
        <v>4.1500000000000004</v>
      </c>
      <c r="O22" s="140">
        <f t="shared" si="15"/>
        <v>71.349999999991269</v>
      </c>
      <c r="P22" s="137">
        <f t="shared" si="6"/>
        <v>93807.79</v>
      </c>
      <c r="Q22" s="137">
        <f t="shared" si="16"/>
        <v>9.2262891730499064E-2</v>
      </c>
      <c r="R22" s="139">
        <f t="shared" si="17"/>
        <v>1.0003193718260095</v>
      </c>
      <c r="S22" s="169">
        <f t="shared" si="2"/>
        <v>5.179999999999918E-2</v>
      </c>
      <c r="T22" s="157">
        <f t="shared" si="7"/>
        <v>-3.2000000000014239E-3</v>
      </c>
      <c r="U22" s="137">
        <f t="shared" si="8"/>
        <v>93766.080000000002</v>
      </c>
      <c r="V22" s="137">
        <f t="shared" si="9"/>
        <v>93694.73000000001</v>
      </c>
      <c r="W22" s="137">
        <f t="shared" si="18"/>
        <v>1.9022830706094673E-2</v>
      </c>
      <c r="X22" s="139">
        <f t="shared" si="19"/>
        <v>1.0033535571984209</v>
      </c>
      <c r="AA22" s="128">
        <v>7.2417999999999996</v>
      </c>
      <c r="AB22" s="130">
        <v>7.19</v>
      </c>
      <c r="AC22" s="127">
        <v>4.1500000000000004</v>
      </c>
    </row>
    <row r="23" spans="1:29" x14ac:dyDescent="0.3">
      <c r="A23" s="134">
        <v>44407</v>
      </c>
      <c r="B23" s="134">
        <v>44743</v>
      </c>
      <c r="C23" s="135">
        <f>NETWORKDAYS(A23,B23-1,Feriados!$A$2:$A$2000)</f>
        <v>231</v>
      </c>
      <c r="D23" s="128">
        <v>7.4204999999999997</v>
      </c>
      <c r="E23" s="137">
        <f t="shared" si="10"/>
        <v>0.17870000000000008</v>
      </c>
      <c r="F23" s="138">
        <f t="shared" si="11"/>
        <v>936.49061099999994</v>
      </c>
      <c r="G23" s="137">
        <f t="shared" si="12"/>
        <v>93649.06</v>
      </c>
      <c r="H23" s="137">
        <f t="shared" si="13"/>
        <v>-0.12479992764974357</v>
      </c>
      <c r="I23" s="139">
        <f t="shared" si="14"/>
        <v>0.99919050352985062</v>
      </c>
      <c r="J23" s="134">
        <f t="shared" si="4"/>
        <v>44743</v>
      </c>
      <c r="K23" s="130">
        <v>7.37</v>
      </c>
      <c r="L23" s="137">
        <f t="shared" si="5"/>
        <v>0.17999999999999972</v>
      </c>
      <c r="M23" s="137">
        <f t="shared" si="1"/>
        <v>93689.44</v>
      </c>
      <c r="N23" s="127">
        <v>4.1500000000000004</v>
      </c>
      <c r="O23" s="140">
        <f t="shared" si="15"/>
        <v>-133.48999999999069</v>
      </c>
      <c r="P23" s="137">
        <f t="shared" si="6"/>
        <v>93689.44</v>
      </c>
      <c r="Q23" s="137">
        <f t="shared" si="16"/>
        <v>-0.12616223023694806</v>
      </c>
      <c r="R23" s="139">
        <f t="shared" si="17"/>
        <v>0.99905734659702161</v>
      </c>
      <c r="S23" s="169">
        <f t="shared" si="2"/>
        <v>5.0499999999999545E-2</v>
      </c>
      <c r="T23" s="157">
        <f t="shared" si="7"/>
        <v>-1.2999999999996348E-3</v>
      </c>
      <c r="U23" s="137">
        <f t="shared" si="8"/>
        <v>93649.06</v>
      </c>
      <c r="V23" s="137">
        <f t="shared" si="9"/>
        <v>93782.549999999988</v>
      </c>
      <c r="W23" s="137">
        <f t="shared" si="18"/>
        <v>1.7564987253382291E-2</v>
      </c>
      <c r="X23" s="139">
        <f t="shared" si="19"/>
        <v>1.0035297961228491</v>
      </c>
      <c r="AA23" s="128">
        <v>7.4204999999999997</v>
      </c>
      <c r="AB23" s="130">
        <v>7.37</v>
      </c>
      <c r="AC23" s="127">
        <v>4.1500000000000004</v>
      </c>
    </row>
    <row r="24" spans="1:29" x14ac:dyDescent="0.3">
      <c r="A24" s="134">
        <v>44410</v>
      </c>
      <c r="B24" s="134">
        <v>44743</v>
      </c>
      <c r="C24" s="135">
        <f>NETWORKDAYS(A24,B24-1,Feriados!$A$2:$A$2000)</f>
        <v>230</v>
      </c>
      <c r="D24" s="128">
        <v>7.43</v>
      </c>
      <c r="E24" s="137">
        <f t="shared" si="10"/>
        <v>9.5000000000000639E-3</v>
      </c>
      <c r="F24" s="138">
        <f t="shared" si="11"/>
        <v>936.68105500000001</v>
      </c>
      <c r="G24" s="137">
        <f t="shared" si="12"/>
        <v>93668.11</v>
      </c>
      <c r="H24" s="137">
        <f t="shared" si="13"/>
        <v>2.0341901990272859E-2</v>
      </c>
      <c r="I24" s="139">
        <f t="shared" si="14"/>
        <v>0.99939375788277474</v>
      </c>
      <c r="J24" s="134">
        <f t="shared" si="4"/>
        <v>44743</v>
      </c>
      <c r="K24" s="130">
        <v>7.38</v>
      </c>
      <c r="L24" s="137">
        <f t="shared" si="5"/>
        <v>9.9999999999997868E-3</v>
      </c>
      <c r="M24" s="137">
        <f t="shared" si="1"/>
        <v>93707.91</v>
      </c>
      <c r="N24" s="127">
        <v>4.1500000000000004</v>
      </c>
      <c r="O24" s="140">
        <f t="shared" si="15"/>
        <v>3.3500000000058208</v>
      </c>
      <c r="P24" s="137">
        <f t="shared" si="6"/>
        <v>93707.91</v>
      </c>
      <c r="Q24" s="137">
        <f t="shared" si="16"/>
        <v>1.9714068095622039E-2</v>
      </c>
      <c r="R24" s="139">
        <f t="shared" si="17"/>
        <v>0.99925430144264404</v>
      </c>
      <c r="S24" s="169">
        <f t="shared" si="2"/>
        <v>4.9999999999999822E-2</v>
      </c>
      <c r="T24" s="157">
        <f t="shared" si="7"/>
        <v>-4.9999999999972289E-4</v>
      </c>
      <c r="U24" s="137">
        <f t="shared" si="8"/>
        <v>93668.11</v>
      </c>
      <c r="V24" s="137">
        <f t="shared" si="9"/>
        <v>93664.76</v>
      </c>
      <c r="W24" s="137">
        <f t="shared" si="18"/>
        <v>1.6764717125838935E-2</v>
      </c>
      <c r="X24" s="139">
        <f t="shared" si="19"/>
        <v>1.0036980350544427</v>
      </c>
      <c r="AA24" s="128">
        <v>7.43</v>
      </c>
      <c r="AB24" s="130">
        <v>7.38</v>
      </c>
      <c r="AC24" s="127">
        <v>4.1500000000000004</v>
      </c>
    </row>
    <row r="25" spans="1:29" x14ac:dyDescent="0.3">
      <c r="A25" s="134">
        <v>44411</v>
      </c>
      <c r="B25" s="134">
        <v>44743</v>
      </c>
      <c r="C25" s="135">
        <f>NETWORKDAYS(A25,B25-1,Feriados!$A$2:$A$2000)</f>
        <v>229</v>
      </c>
      <c r="D25" s="128">
        <v>7.4840999999999998</v>
      </c>
      <c r="E25" s="137">
        <f t="shared" si="10"/>
        <v>5.4100000000000037E-2</v>
      </c>
      <c r="F25" s="138">
        <f t="shared" si="11"/>
        <v>936.51892499999997</v>
      </c>
      <c r="G25" s="137">
        <f t="shared" si="12"/>
        <v>93651.89</v>
      </c>
      <c r="H25" s="137">
        <f t="shared" si="13"/>
        <v>-1.7316459144955942E-2</v>
      </c>
      <c r="I25" s="139">
        <f t="shared" si="14"/>
        <v>0.99922069827099369</v>
      </c>
      <c r="J25" s="134">
        <f t="shared" si="4"/>
        <v>44743</v>
      </c>
      <c r="K25" s="130">
        <v>7.4349999999999996</v>
      </c>
      <c r="L25" s="137">
        <f t="shared" si="5"/>
        <v>5.4999999999999716E-2</v>
      </c>
      <c r="M25" s="137">
        <f t="shared" si="1"/>
        <v>93690.79</v>
      </c>
      <c r="N25" s="127">
        <v>4.1500000000000004</v>
      </c>
      <c r="O25" s="140">
        <f t="shared" si="15"/>
        <v>-32.240000000005239</v>
      </c>
      <c r="P25" s="137">
        <f t="shared" si="6"/>
        <v>93690.79</v>
      </c>
      <c r="Q25" s="137">
        <f t="shared" si="16"/>
        <v>-1.8269535624060307E-2</v>
      </c>
      <c r="R25" s="139">
        <f t="shared" si="17"/>
        <v>0.99907174232206708</v>
      </c>
      <c r="S25" s="169">
        <f t="shared" si="2"/>
        <v>4.9100000000000144E-2</v>
      </c>
      <c r="T25" s="157">
        <f t="shared" si="7"/>
        <v>-8.9999999999967883E-4</v>
      </c>
      <c r="U25" s="137">
        <f t="shared" si="8"/>
        <v>93651.89</v>
      </c>
      <c r="V25" s="137">
        <f t="shared" si="9"/>
        <v>93684.13</v>
      </c>
      <c r="W25" s="137">
        <f t="shared" si="18"/>
        <v>1.7102939303459408E-2</v>
      </c>
      <c r="X25" s="139">
        <f t="shared" si="19"/>
        <v>1.0038696969201681</v>
      </c>
      <c r="AA25" s="128">
        <v>7.4840999999999998</v>
      </c>
      <c r="AB25" s="130">
        <v>7.4349999999999996</v>
      </c>
      <c r="AC25" s="127">
        <v>4.1500000000000004</v>
      </c>
    </row>
    <row r="26" spans="1:29" x14ac:dyDescent="0.3">
      <c r="A26" s="134">
        <v>44412</v>
      </c>
      <c r="B26" s="134">
        <v>44743</v>
      </c>
      <c r="C26" s="135">
        <f>NETWORKDAYS(A26,B26-1,Feriados!$A$2:$A$2000)</f>
        <v>228</v>
      </c>
      <c r="D26" s="128">
        <v>7.4740000000000002</v>
      </c>
      <c r="E26" s="137">
        <f t="shared" si="10"/>
        <v>-1.0099999999999554E-2</v>
      </c>
      <c r="F26" s="138">
        <f t="shared" si="11"/>
        <v>936.86683300000004</v>
      </c>
      <c r="G26" s="137">
        <f t="shared" si="12"/>
        <v>93686.68</v>
      </c>
      <c r="H26" s="137">
        <f t="shared" si="13"/>
        <v>3.7148209181880887E-2</v>
      </c>
      <c r="I26" s="139">
        <f t="shared" si="14"/>
        <v>0.99959189086617606</v>
      </c>
      <c r="J26" s="134">
        <f t="shared" si="4"/>
        <v>44743</v>
      </c>
      <c r="K26" s="130">
        <v>7.4249999999999998</v>
      </c>
      <c r="L26" s="137">
        <f t="shared" si="5"/>
        <v>-9.9999999999997868E-3</v>
      </c>
      <c r="M26" s="137">
        <f t="shared" si="1"/>
        <v>93725.35</v>
      </c>
      <c r="N26" s="127">
        <v>4.1500000000000004</v>
      </c>
      <c r="O26" s="140">
        <f t="shared" si="15"/>
        <v>19.440000000002328</v>
      </c>
      <c r="P26" s="137">
        <f t="shared" si="6"/>
        <v>93725.35</v>
      </c>
      <c r="Q26" s="137">
        <f t="shared" si="16"/>
        <v>3.688729703315019E-2</v>
      </c>
      <c r="R26" s="139">
        <f t="shared" si="17"/>
        <v>0.99944027288323167</v>
      </c>
      <c r="S26" s="169">
        <f t="shared" si="2"/>
        <v>4.9000000000000377E-2</v>
      </c>
      <c r="T26" s="157">
        <f t="shared" si="7"/>
        <v>-9.9999999999766942E-5</v>
      </c>
      <c r="U26" s="137">
        <f t="shared" si="8"/>
        <v>93686.68</v>
      </c>
      <c r="V26" s="137">
        <f t="shared" si="9"/>
        <v>93667.239999999991</v>
      </c>
      <c r="W26" s="137">
        <f t="shared" si="18"/>
        <v>1.6390486086281797E-2</v>
      </c>
      <c r="X26" s="139">
        <f t="shared" si="19"/>
        <v>1.0040342360431662</v>
      </c>
      <c r="AA26" s="128">
        <v>7.4740000000000002</v>
      </c>
      <c r="AB26" s="130">
        <v>7.4249999999999998</v>
      </c>
      <c r="AC26" s="127">
        <v>4.1500000000000004</v>
      </c>
    </row>
    <row r="27" spans="1:29" x14ac:dyDescent="0.3">
      <c r="A27" s="134">
        <v>44413</v>
      </c>
      <c r="B27" s="134">
        <v>44743</v>
      </c>
      <c r="C27" s="135">
        <f>NETWORKDAYS(A27,B27-1,Feriados!$A$2:$A$2000)</f>
        <v>227</v>
      </c>
      <c r="D27" s="128">
        <v>7.7149000000000001</v>
      </c>
      <c r="E27" s="137">
        <f t="shared" si="10"/>
        <v>0.24089999999999989</v>
      </c>
      <c r="F27" s="138">
        <f t="shared" si="11"/>
        <v>935.24668999999994</v>
      </c>
      <c r="G27" s="137">
        <f t="shared" si="12"/>
        <v>93524.67</v>
      </c>
      <c r="H27" s="137">
        <f t="shared" si="13"/>
        <v>-0.17292746418167138</v>
      </c>
      <c r="I27" s="139">
        <f t="shared" si="14"/>
        <v>0.99786332195713556</v>
      </c>
      <c r="J27" s="134">
        <f t="shared" si="4"/>
        <v>44743</v>
      </c>
      <c r="K27" s="130">
        <v>7.665</v>
      </c>
      <c r="L27" s="137">
        <f t="shared" si="5"/>
        <v>0.24000000000000021</v>
      </c>
      <c r="M27" s="137">
        <f t="shared" si="1"/>
        <v>93563.71</v>
      </c>
      <c r="N27" s="127">
        <v>4.1500000000000004</v>
      </c>
      <c r="O27" s="140">
        <f t="shared" si="15"/>
        <v>-176.75999999999476</v>
      </c>
      <c r="P27" s="137">
        <f t="shared" si="6"/>
        <v>93563.71</v>
      </c>
      <c r="Q27" s="137">
        <f t="shared" si="16"/>
        <v>-0.17246134583652761</v>
      </c>
      <c r="R27" s="139">
        <f t="shared" si="17"/>
        <v>0.997716624737785</v>
      </c>
      <c r="S27" s="169">
        <f t="shared" si="2"/>
        <v>4.9900000000000055E-2</v>
      </c>
      <c r="T27" s="157">
        <f t="shared" si="7"/>
        <v>8.9999999999967883E-4</v>
      </c>
      <c r="U27" s="137">
        <f t="shared" si="8"/>
        <v>93524.67</v>
      </c>
      <c r="V27" s="137">
        <f t="shared" si="9"/>
        <v>93701.43</v>
      </c>
      <c r="W27" s="137">
        <f t="shared" si="18"/>
        <v>1.574396701857772E-2</v>
      </c>
      <c r="X27" s="139">
        <f t="shared" si="19"/>
        <v>1.004192310862144</v>
      </c>
      <c r="AA27" s="128">
        <v>7.7149000000000001</v>
      </c>
      <c r="AB27" s="130">
        <v>7.665</v>
      </c>
      <c r="AC27" s="127">
        <v>4.1500000000000004</v>
      </c>
    </row>
    <row r="28" spans="1:29" x14ac:dyDescent="0.3">
      <c r="A28" s="134">
        <v>44414</v>
      </c>
      <c r="B28" s="134">
        <v>44743</v>
      </c>
      <c r="C28" s="135">
        <f>NETWORKDAYS(A28,B28-1,Feriados!$A$2:$A$2000)</f>
        <v>226</v>
      </c>
      <c r="D28" s="128">
        <v>7.74</v>
      </c>
      <c r="E28" s="137">
        <f t="shared" si="10"/>
        <v>2.5100000000000122E-2</v>
      </c>
      <c r="F28" s="138">
        <f t="shared" si="11"/>
        <v>935.32708300000002</v>
      </c>
      <c r="G28" s="137">
        <f t="shared" si="12"/>
        <v>93532.71</v>
      </c>
      <c r="H28" s="137">
        <f t="shared" si="13"/>
        <v>8.5966622496602696E-3</v>
      </c>
      <c r="I28" s="139">
        <f t="shared" si="14"/>
        <v>0.99794910489663746</v>
      </c>
      <c r="J28" s="134">
        <f t="shared" si="4"/>
        <v>44743</v>
      </c>
      <c r="K28" s="130">
        <v>7.69</v>
      </c>
      <c r="L28" s="137">
        <f t="shared" si="5"/>
        <v>2.5000000000000355E-2</v>
      </c>
      <c r="M28" s="137">
        <f t="shared" si="1"/>
        <v>93571.65</v>
      </c>
      <c r="N28" s="127">
        <v>5.15</v>
      </c>
      <c r="O28" s="140">
        <f t="shared" si="15"/>
        <v>-7.1600000000034925</v>
      </c>
      <c r="P28" s="137">
        <f t="shared" si="6"/>
        <v>93571.65</v>
      </c>
      <c r="Q28" s="137">
        <f t="shared" si="16"/>
        <v>8.4861961971993694E-3</v>
      </c>
      <c r="R28" s="139">
        <f t="shared" si="17"/>
        <v>0.99780129292805231</v>
      </c>
      <c r="S28" s="169">
        <f t="shared" si="2"/>
        <v>4.9999999999999822E-2</v>
      </c>
      <c r="T28" s="157">
        <f t="shared" si="7"/>
        <v>9.9999999999766942E-5</v>
      </c>
      <c r="U28" s="137">
        <f t="shared" si="8"/>
        <v>93532.71</v>
      </c>
      <c r="V28" s="137">
        <f t="shared" si="9"/>
        <v>93539.87000000001</v>
      </c>
      <c r="W28" s="137">
        <f t="shared" si="18"/>
        <v>1.6252396292881777E-2</v>
      </c>
      <c r="X28" s="139">
        <f t="shared" si="19"/>
        <v>1.004355516176048</v>
      </c>
      <c r="AA28" s="128">
        <v>7.74</v>
      </c>
      <c r="AB28" s="130">
        <v>7.69</v>
      </c>
      <c r="AC28" s="127">
        <v>5.15</v>
      </c>
    </row>
    <row r="29" spans="1:29" x14ac:dyDescent="0.3">
      <c r="A29" s="134">
        <v>44417</v>
      </c>
      <c r="B29" s="134">
        <v>44743</v>
      </c>
      <c r="C29" s="135">
        <f>NETWORKDAYS(A29,B29-1,Feriados!$A$2:$A$2000)</f>
        <v>225</v>
      </c>
      <c r="D29" s="128">
        <v>7.8114999999999997</v>
      </c>
      <c r="E29" s="137">
        <f t="shared" si="10"/>
        <v>7.1499999999999453E-2</v>
      </c>
      <c r="F29" s="138">
        <f t="shared" si="11"/>
        <v>935.049801</v>
      </c>
      <c r="G29" s="137">
        <f t="shared" si="12"/>
        <v>93504.98</v>
      </c>
      <c r="H29" s="137">
        <f t="shared" si="13"/>
        <v>-2.9647382183206616E-2</v>
      </c>
      <c r="I29" s="139">
        <f t="shared" si="14"/>
        <v>0.99765323911151482</v>
      </c>
      <c r="J29" s="134">
        <f t="shared" si="4"/>
        <v>44743</v>
      </c>
      <c r="K29" s="130">
        <v>7.7649999999999997</v>
      </c>
      <c r="L29" s="137">
        <f t="shared" si="5"/>
        <v>7.4999999999999289E-2</v>
      </c>
      <c r="M29" s="137">
        <f t="shared" si="1"/>
        <v>93541</v>
      </c>
      <c r="N29" s="127">
        <v>5.15</v>
      </c>
      <c r="O29" s="140">
        <f t="shared" si="15"/>
        <v>-49.30000000000291</v>
      </c>
      <c r="P29" s="137">
        <f t="shared" si="6"/>
        <v>93541</v>
      </c>
      <c r="Q29" s="137">
        <f t="shared" si="16"/>
        <v>-3.2755647677473743E-2</v>
      </c>
      <c r="R29" s="139">
        <f t="shared" si="17"/>
        <v>0.9974744566520195</v>
      </c>
      <c r="S29" s="169">
        <f t="shared" si="2"/>
        <v>4.6499999999999986E-2</v>
      </c>
      <c r="T29" s="157">
        <f t="shared" si="7"/>
        <v>-3.4999999999998366E-3</v>
      </c>
      <c r="U29" s="137">
        <f t="shared" si="8"/>
        <v>93504.98</v>
      </c>
      <c r="V29" s="137">
        <f t="shared" si="9"/>
        <v>93554.28</v>
      </c>
      <c r="W29" s="137">
        <f t="shared" si="18"/>
        <v>2.3061450908445913E-2</v>
      </c>
      <c r="X29" s="139">
        <f t="shared" si="19"/>
        <v>1.0045871351303572</v>
      </c>
      <c r="AA29" s="128">
        <v>7.8114999999999997</v>
      </c>
      <c r="AB29" s="130">
        <v>7.7649999999999997</v>
      </c>
      <c r="AC29" s="127">
        <v>5.15</v>
      </c>
    </row>
    <row r="30" spans="1:29" x14ac:dyDescent="0.3">
      <c r="A30" s="134">
        <v>44418</v>
      </c>
      <c r="B30" s="134">
        <v>44743</v>
      </c>
      <c r="C30" s="135">
        <f>NETWORKDAYS(A30,B30-1,Feriados!$A$2:$A$2000)</f>
        <v>224</v>
      </c>
      <c r="D30" s="128">
        <v>7.7057000000000002</v>
      </c>
      <c r="E30" s="137">
        <f t="shared" si="10"/>
        <v>-0.10579999999999945</v>
      </c>
      <c r="F30" s="138">
        <f t="shared" si="11"/>
        <v>936.14557400000001</v>
      </c>
      <c r="G30" s="137">
        <f t="shared" si="12"/>
        <v>93614.56</v>
      </c>
      <c r="H30" s="137">
        <f t="shared" si="13"/>
        <v>0.11719161909879983</v>
      </c>
      <c r="I30" s="139">
        <f t="shared" si="14"/>
        <v>0.9988224050954212</v>
      </c>
      <c r="J30" s="134">
        <f t="shared" si="4"/>
        <v>44743</v>
      </c>
      <c r="K30" s="130">
        <v>7.66</v>
      </c>
      <c r="L30" s="137">
        <f t="shared" si="5"/>
        <v>-0.10499999999999954</v>
      </c>
      <c r="M30" s="137">
        <f t="shared" si="1"/>
        <v>93649.88</v>
      </c>
      <c r="N30" s="127">
        <v>5.15</v>
      </c>
      <c r="O30" s="140">
        <f t="shared" si="15"/>
        <v>90.240000000005239</v>
      </c>
      <c r="P30" s="137">
        <f t="shared" si="6"/>
        <v>93649.88</v>
      </c>
      <c r="Q30" s="137">
        <f t="shared" si="16"/>
        <v>0.11639815695791977</v>
      </c>
      <c r="R30" s="139">
        <f t="shared" si="17"/>
        <v>0.99863549853568845</v>
      </c>
      <c r="S30" s="169">
        <f t="shared" si="2"/>
        <v>4.5700000000000074E-2</v>
      </c>
      <c r="T30" s="157">
        <f t="shared" si="7"/>
        <v>-7.9999999999991189E-4</v>
      </c>
      <c r="U30" s="137">
        <f t="shared" si="8"/>
        <v>93614.56</v>
      </c>
      <c r="V30" s="137">
        <f t="shared" si="9"/>
        <v>93524.319999999992</v>
      </c>
      <c r="W30" s="137">
        <f t="shared" si="18"/>
        <v>2.0683390339204522E-2</v>
      </c>
      <c r="X30" s="139">
        <f t="shared" si="19"/>
        <v>1.0047949178088136</v>
      </c>
      <c r="AA30" s="128">
        <v>7.7057000000000002</v>
      </c>
      <c r="AB30" s="130">
        <v>7.66</v>
      </c>
      <c r="AC30" s="127">
        <v>5.15</v>
      </c>
    </row>
    <row r="31" spans="1:29" x14ac:dyDescent="0.3">
      <c r="A31" s="134">
        <v>44419</v>
      </c>
      <c r="B31" s="134">
        <v>44743</v>
      </c>
      <c r="C31" s="135">
        <f>NETWORKDAYS(A31,B31-1,Feriados!$A$2:$A$2000)</f>
        <v>223</v>
      </c>
      <c r="D31" s="128">
        <v>7.7249999999999996</v>
      </c>
      <c r="E31" s="137">
        <f t="shared" si="10"/>
        <v>1.9299999999999429E-2</v>
      </c>
      <c r="F31" s="138">
        <f t="shared" si="11"/>
        <v>936.27291400000001</v>
      </c>
      <c r="G31" s="137">
        <f t="shared" si="12"/>
        <v>93627.29</v>
      </c>
      <c r="H31" s="137">
        <f t="shared" si="13"/>
        <v>1.3598312057427897E-2</v>
      </c>
      <c r="I31" s="139">
        <f t="shared" si="14"/>
        <v>0.99895822808296553</v>
      </c>
      <c r="J31" s="134">
        <f t="shared" si="4"/>
        <v>44743</v>
      </c>
      <c r="K31" s="130">
        <v>7.68</v>
      </c>
      <c r="L31" s="137">
        <f t="shared" si="5"/>
        <v>1.9999999999999574E-2</v>
      </c>
      <c r="M31" s="137">
        <f t="shared" si="1"/>
        <v>93661.92</v>
      </c>
      <c r="N31" s="127">
        <v>5.15</v>
      </c>
      <c r="O31" s="140">
        <f t="shared" si="15"/>
        <v>-6.6199999999953434</v>
      </c>
      <c r="P31" s="137">
        <f t="shared" si="6"/>
        <v>93661.92</v>
      </c>
      <c r="Q31" s="137">
        <f t="shared" si="16"/>
        <v>1.2856396612570542E-2</v>
      </c>
      <c r="R31" s="139">
        <f t="shared" si="17"/>
        <v>0.99876388707609409</v>
      </c>
      <c r="S31" s="169">
        <f t="shared" si="2"/>
        <v>4.4999999999999929E-2</v>
      </c>
      <c r="T31" s="157">
        <f t="shared" si="7"/>
        <v>-7.0000000000014495E-4</v>
      </c>
      <c r="U31" s="137">
        <f t="shared" si="8"/>
        <v>93627.29</v>
      </c>
      <c r="V31" s="137">
        <f t="shared" si="9"/>
        <v>93633.909999999989</v>
      </c>
      <c r="W31" s="137">
        <f t="shared" si="18"/>
        <v>2.0669861611266604E-2</v>
      </c>
      <c r="X31" s="139">
        <f t="shared" si="19"/>
        <v>1.0050026075278018</v>
      </c>
      <c r="AA31" s="128">
        <v>7.7249999999999996</v>
      </c>
      <c r="AB31" s="130">
        <v>7.68</v>
      </c>
      <c r="AC31" s="127">
        <v>5.15</v>
      </c>
    </row>
    <row r="32" spans="1:29" x14ac:dyDescent="0.3">
      <c r="A32" s="134">
        <v>44420</v>
      </c>
      <c r="B32" s="134">
        <v>44743</v>
      </c>
      <c r="C32" s="135">
        <f>NETWORKDAYS(A32,B32-1,Feriados!$A$2:$A$2000)</f>
        <v>222</v>
      </c>
      <c r="D32" s="128">
        <v>7.82</v>
      </c>
      <c r="E32" s="137">
        <f t="shared" si="10"/>
        <v>9.5000000000000639E-2</v>
      </c>
      <c r="F32" s="138">
        <f t="shared" si="11"/>
        <v>935.82242799999995</v>
      </c>
      <c r="G32" s="137">
        <f t="shared" si="12"/>
        <v>93582.24</v>
      </c>
      <c r="H32" s="137">
        <f t="shared" si="13"/>
        <v>-4.811631309631359E-2</v>
      </c>
      <c r="I32" s="139">
        <f t="shared" si="14"/>
        <v>0.99847756621423978</v>
      </c>
      <c r="J32" s="134">
        <f t="shared" si="4"/>
        <v>44743</v>
      </c>
      <c r="K32" s="130">
        <v>7.78</v>
      </c>
      <c r="L32" s="137">
        <f t="shared" si="5"/>
        <v>0.10000000000000053</v>
      </c>
      <c r="M32" s="137">
        <f t="shared" si="1"/>
        <v>93612.84</v>
      </c>
      <c r="N32" s="127">
        <v>5.15</v>
      </c>
      <c r="O32" s="140">
        <f t="shared" si="15"/>
        <v>-67.75</v>
      </c>
      <c r="P32" s="137">
        <f t="shared" si="6"/>
        <v>93612.84</v>
      </c>
      <c r="Q32" s="137">
        <f t="shared" si="16"/>
        <v>-5.2401232005494514E-2</v>
      </c>
      <c r="R32" s="139">
        <f t="shared" si="17"/>
        <v>0.99824052249444029</v>
      </c>
      <c r="S32" s="169">
        <f t="shared" si="2"/>
        <v>4.0000000000000036E-2</v>
      </c>
      <c r="T32" s="157">
        <f t="shared" si="7"/>
        <v>-4.9999999999998934E-3</v>
      </c>
      <c r="U32" s="137">
        <f t="shared" si="8"/>
        <v>93582.24</v>
      </c>
      <c r="V32" s="137">
        <f t="shared" si="9"/>
        <v>93649.99</v>
      </c>
      <c r="W32" s="137">
        <f t="shared" si="18"/>
        <v>2.4245067864314684E-2</v>
      </c>
      <c r="X32" s="139">
        <f t="shared" si="19"/>
        <v>1.0052462710920351</v>
      </c>
      <c r="AA32" s="128">
        <v>7.82</v>
      </c>
      <c r="AB32" s="130">
        <v>7.78</v>
      </c>
      <c r="AC32" s="127">
        <v>5.15</v>
      </c>
    </row>
    <row r="33" spans="1:29" x14ac:dyDescent="0.3">
      <c r="A33" s="134">
        <v>44421</v>
      </c>
      <c r="B33" s="134">
        <v>44743</v>
      </c>
      <c r="C33" s="135">
        <f>NETWORKDAYS(A33,B33-1,Feriados!$A$2:$A$2000)</f>
        <v>221</v>
      </c>
      <c r="D33" s="128">
        <v>7.8916000000000004</v>
      </c>
      <c r="E33" s="137">
        <f t="shared" si="10"/>
        <v>7.1600000000000108E-2</v>
      </c>
      <c r="F33" s="138">
        <f t="shared" si="11"/>
        <v>935.55724999999995</v>
      </c>
      <c r="G33" s="137">
        <f t="shared" si="12"/>
        <v>93555.73</v>
      </c>
      <c r="H33" s="137">
        <f t="shared" si="13"/>
        <v>-2.8328024633739179E-2</v>
      </c>
      <c r="I33" s="139">
        <f t="shared" si="14"/>
        <v>0.99819471724332021</v>
      </c>
      <c r="J33" s="134">
        <f t="shared" si="4"/>
        <v>44743</v>
      </c>
      <c r="K33" s="130">
        <v>7.85</v>
      </c>
      <c r="L33" s="137">
        <f t="shared" si="5"/>
        <v>6.9999999999999396E-2</v>
      </c>
      <c r="M33" s="137">
        <f t="shared" si="1"/>
        <v>93587.37</v>
      </c>
      <c r="N33" s="127">
        <v>5.15</v>
      </c>
      <c r="O33" s="140">
        <f t="shared" si="15"/>
        <v>-44.130000000004657</v>
      </c>
      <c r="P33" s="137">
        <f t="shared" si="6"/>
        <v>93587.37</v>
      </c>
      <c r="Q33" s="137">
        <f t="shared" si="16"/>
        <v>-2.7207806108653365E-2</v>
      </c>
      <c r="R33" s="139">
        <f t="shared" si="17"/>
        <v>0.99796892314858199</v>
      </c>
      <c r="S33" s="169">
        <f t="shared" si="2"/>
        <v>4.1600000000000747E-2</v>
      </c>
      <c r="T33" s="157">
        <f t="shared" si="7"/>
        <v>1.600000000000712E-3</v>
      </c>
      <c r="U33" s="137">
        <f t="shared" si="8"/>
        <v>93555.73</v>
      </c>
      <c r="V33" s="137">
        <f t="shared" si="9"/>
        <v>93599.86</v>
      </c>
      <c r="W33" s="137">
        <f t="shared" si="18"/>
        <v>1.8828358885181196E-2</v>
      </c>
      <c r="X33" s="139">
        <f t="shared" si="19"/>
        <v>1.0054355424676362</v>
      </c>
      <c r="AA33" s="128">
        <v>7.8916000000000004</v>
      </c>
      <c r="AB33" s="130">
        <v>7.85</v>
      </c>
      <c r="AC33" s="127">
        <v>5.15</v>
      </c>
    </row>
    <row r="34" spans="1:29" x14ac:dyDescent="0.3">
      <c r="A34" s="134">
        <v>44424</v>
      </c>
      <c r="B34" s="134">
        <v>44743</v>
      </c>
      <c r="C34" s="135">
        <f>NETWORKDAYS(A34,B34-1,Feriados!$A$2:$A$2000)</f>
        <v>220</v>
      </c>
      <c r="D34" s="128">
        <v>7.8787000000000003</v>
      </c>
      <c r="E34" s="137">
        <f t="shared" si="10"/>
        <v>-1.2900000000000134E-2</v>
      </c>
      <c r="F34" s="138">
        <f t="shared" si="11"/>
        <v>935.93697999999995</v>
      </c>
      <c r="G34" s="137">
        <f t="shared" si="12"/>
        <v>93593.7</v>
      </c>
      <c r="H34" s="137">
        <f t="shared" si="13"/>
        <v>4.0585435012907567E-2</v>
      </c>
      <c r="I34" s="139">
        <f t="shared" si="14"/>
        <v>0.99859983891158932</v>
      </c>
      <c r="J34" s="134">
        <f t="shared" si="4"/>
        <v>44743</v>
      </c>
      <c r="K34" s="130">
        <v>7.835</v>
      </c>
      <c r="L34" s="137">
        <f t="shared" si="5"/>
        <v>-1.499999999999968E-2</v>
      </c>
      <c r="M34" s="137">
        <f t="shared" si="1"/>
        <v>93626.81</v>
      </c>
      <c r="N34" s="127">
        <v>5.15</v>
      </c>
      <c r="O34" s="140">
        <f t="shared" si="15"/>
        <v>20.789999999993597</v>
      </c>
      <c r="P34" s="137">
        <f t="shared" si="6"/>
        <v>93626.81</v>
      </c>
      <c r="Q34" s="137">
        <f t="shared" si="16"/>
        <v>4.2142438664538595E-2</v>
      </c>
      <c r="R34" s="139">
        <f t="shared" si="17"/>
        <v>0.99838949158991108</v>
      </c>
      <c r="S34" s="169">
        <f t="shared" si="2"/>
        <v>4.3700000000000294E-2</v>
      </c>
      <c r="T34" s="157">
        <f t="shared" si="7"/>
        <v>2.0999999999995467E-3</v>
      </c>
      <c r="U34" s="137">
        <f t="shared" si="8"/>
        <v>93593.7</v>
      </c>
      <c r="V34" s="137">
        <f t="shared" si="9"/>
        <v>93572.91</v>
      </c>
      <c r="W34" s="137">
        <f t="shared" si="18"/>
        <v>1.8363386187036923E-2</v>
      </c>
      <c r="X34" s="139">
        <f t="shared" si="19"/>
        <v>1.0056201744791613</v>
      </c>
      <c r="AA34" s="128">
        <v>7.8787000000000003</v>
      </c>
      <c r="AB34" s="130">
        <v>7.835</v>
      </c>
      <c r="AC34" s="127">
        <v>5.15</v>
      </c>
    </row>
    <row r="35" spans="1:29" x14ac:dyDescent="0.3">
      <c r="A35" s="134">
        <v>44425</v>
      </c>
      <c r="B35" s="134">
        <v>44743</v>
      </c>
      <c r="C35" s="135">
        <f>NETWORKDAYS(A35,B35-1,Feriados!$A$2:$A$2000)</f>
        <v>219</v>
      </c>
      <c r="D35" s="128">
        <v>7.8917999999999999</v>
      </c>
      <c r="E35" s="137">
        <f t="shared" si="10"/>
        <v>1.3099999999999667E-2</v>
      </c>
      <c r="F35" s="138">
        <f t="shared" si="11"/>
        <v>936.11989600000004</v>
      </c>
      <c r="G35" s="137">
        <f t="shared" si="12"/>
        <v>93611.99</v>
      </c>
      <c r="H35" s="137">
        <f t="shared" si="13"/>
        <v>1.9541913611709205E-2</v>
      </c>
      <c r="I35" s="139">
        <f t="shared" si="14"/>
        <v>0.99879498442943604</v>
      </c>
      <c r="J35" s="134">
        <f t="shared" si="4"/>
        <v>44743</v>
      </c>
      <c r="K35" s="130">
        <v>7.8449999999999998</v>
      </c>
      <c r="L35" s="137">
        <f t="shared" si="5"/>
        <v>9.9999999999997868E-3</v>
      </c>
      <c r="M35" s="137">
        <f t="shared" si="1"/>
        <v>93647.29</v>
      </c>
      <c r="N35" s="127">
        <v>5.15</v>
      </c>
      <c r="O35" s="140">
        <f t="shared" si="15"/>
        <v>1.819999999992433</v>
      </c>
      <c r="P35" s="137">
        <f t="shared" si="6"/>
        <v>93647.29</v>
      </c>
      <c r="Q35" s="137">
        <f t="shared" si="16"/>
        <v>2.187407645308781E-2</v>
      </c>
      <c r="R35" s="139">
        <f t="shared" si="17"/>
        <v>0.99860788007060108</v>
      </c>
      <c r="S35" s="169">
        <f t="shared" si="2"/>
        <v>4.6800000000000175E-2</v>
      </c>
      <c r="T35" s="157">
        <f t="shared" si="7"/>
        <v>3.0999999999998806E-3</v>
      </c>
      <c r="U35" s="137">
        <f t="shared" si="8"/>
        <v>93611.99</v>
      </c>
      <c r="V35" s="137">
        <f t="shared" si="9"/>
        <v>93610.170000000013</v>
      </c>
      <c r="W35" s="137">
        <f t="shared" si="18"/>
        <v>1.7597338282393515E-2</v>
      </c>
      <c r="X35" s="139">
        <f t="shared" si="19"/>
        <v>1.0057971368631005</v>
      </c>
      <c r="AA35" s="128">
        <v>7.8917999999999999</v>
      </c>
      <c r="AB35" s="130">
        <v>7.8449999999999998</v>
      </c>
      <c r="AC35" s="127">
        <v>5.15</v>
      </c>
    </row>
    <row r="36" spans="1:29" x14ac:dyDescent="0.3">
      <c r="A36" s="134">
        <v>44426</v>
      </c>
      <c r="B36" s="134">
        <v>44743</v>
      </c>
      <c r="C36" s="135">
        <f>NETWORKDAYS(A36,B36-1,Feriados!$A$2:$A$2000)</f>
        <v>218</v>
      </c>
      <c r="D36" s="128">
        <v>7.9828000000000001</v>
      </c>
      <c r="E36" s="137">
        <f t="shared" si="10"/>
        <v>9.1000000000000192E-2</v>
      </c>
      <c r="F36" s="138">
        <f t="shared" si="11"/>
        <v>935.71940700000005</v>
      </c>
      <c r="G36" s="137">
        <f t="shared" si="12"/>
        <v>93571.94</v>
      </c>
      <c r="H36" s="137">
        <f t="shared" si="13"/>
        <v>-4.2782981111721963E-2</v>
      </c>
      <c r="I36" s="139">
        <f t="shared" si="14"/>
        <v>0.9983676701599028</v>
      </c>
      <c r="J36" s="134">
        <f t="shared" si="4"/>
        <v>44743</v>
      </c>
      <c r="K36" s="130">
        <v>7.9349999999999996</v>
      </c>
      <c r="L36" s="137">
        <f t="shared" si="5"/>
        <v>8.9999999999999858E-2</v>
      </c>
      <c r="M36" s="137">
        <f t="shared" si="1"/>
        <v>93607.79</v>
      </c>
      <c r="N36" s="127">
        <v>5.15</v>
      </c>
      <c r="O36" s="140">
        <f t="shared" si="15"/>
        <v>-58.160000000003492</v>
      </c>
      <c r="P36" s="137">
        <f t="shared" si="6"/>
        <v>93607.79</v>
      </c>
      <c r="Q36" s="137">
        <f t="shared" si="16"/>
        <v>-4.2179544117082468E-2</v>
      </c>
      <c r="R36" s="139">
        <f t="shared" si="17"/>
        <v>0.99818667181927001</v>
      </c>
      <c r="S36" s="169">
        <f t="shared" si="2"/>
        <v>4.7800000000000509E-2</v>
      </c>
      <c r="T36" s="157">
        <f t="shared" si="7"/>
        <v>1.000000000000334E-3</v>
      </c>
      <c r="U36" s="137">
        <f t="shared" si="8"/>
        <v>93571.94</v>
      </c>
      <c r="V36" s="137">
        <f t="shared" si="9"/>
        <v>93630.1</v>
      </c>
      <c r="W36" s="137">
        <f t="shared" si="18"/>
        <v>1.9345812432791654E-2</v>
      </c>
      <c r="X36" s="139">
        <f t="shared" si="19"/>
        <v>1.0059917164906524</v>
      </c>
      <c r="AA36" s="128">
        <v>7.9828000000000001</v>
      </c>
      <c r="AB36" s="130">
        <v>7.9349999999999996</v>
      </c>
      <c r="AC36" s="127">
        <v>5.15</v>
      </c>
    </row>
    <row r="37" spans="1:29" x14ac:dyDescent="0.3">
      <c r="A37" s="134">
        <v>44427</v>
      </c>
      <c r="B37" s="134">
        <v>44743</v>
      </c>
      <c r="C37" s="135">
        <f>NETWORKDAYS(A37,B37-1,Feriados!$A$2:$A$2000)</f>
        <v>217</v>
      </c>
      <c r="D37" s="128">
        <v>8.0426000000000002</v>
      </c>
      <c r="E37" s="137">
        <f t="shared" si="10"/>
        <v>5.9800000000000075E-2</v>
      </c>
      <c r="F37" s="138">
        <f t="shared" si="11"/>
        <v>935.55849999999998</v>
      </c>
      <c r="G37" s="137">
        <f t="shared" si="12"/>
        <v>93555.85</v>
      </c>
      <c r="H37" s="137">
        <f t="shared" si="13"/>
        <v>-1.7195325863705868E-2</v>
      </c>
      <c r="I37" s="139">
        <f t="shared" si="14"/>
        <v>0.99819599758570088</v>
      </c>
      <c r="J37" s="134">
        <f t="shared" si="4"/>
        <v>44743</v>
      </c>
      <c r="K37" s="130">
        <v>8</v>
      </c>
      <c r="L37" s="137">
        <f t="shared" si="5"/>
        <v>6.5000000000000391E-2</v>
      </c>
      <c r="M37" s="137">
        <f t="shared" si="1"/>
        <v>93587.63</v>
      </c>
      <c r="N37" s="127">
        <v>5.15</v>
      </c>
      <c r="O37" s="140">
        <f t="shared" si="15"/>
        <v>-38.819999999992433</v>
      </c>
      <c r="P37" s="137">
        <f t="shared" si="6"/>
        <v>93587.63</v>
      </c>
      <c r="Q37" s="137">
        <f t="shared" si="16"/>
        <v>-2.1536669116950513E-2</v>
      </c>
      <c r="R37" s="139">
        <f t="shared" si="17"/>
        <v>0.99797169565859078</v>
      </c>
      <c r="S37" s="169">
        <f t="shared" si="2"/>
        <v>4.2600000000000193E-2</v>
      </c>
      <c r="T37" s="157">
        <f t="shared" si="7"/>
        <v>-5.2000000000003155E-3</v>
      </c>
      <c r="U37" s="137">
        <f t="shared" si="8"/>
        <v>93555.85</v>
      </c>
      <c r="V37" s="137">
        <f t="shared" si="9"/>
        <v>93594.67</v>
      </c>
      <c r="W37" s="137">
        <f t="shared" si="18"/>
        <v>2.4291470284776295E-2</v>
      </c>
      <c r="X37" s="139">
        <f t="shared" si="19"/>
        <v>1.006236086669531</v>
      </c>
      <c r="AA37" s="128">
        <v>8.0426000000000002</v>
      </c>
      <c r="AB37" s="130">
        <v>8</v>
      </c>
      <c r="AC37" s="127">
        <v>5.15</v>
      </c>
    </row>
    <row r="38" spans="1:29" x14ac:dyDescent="0.3">
      <c r="A38" s="134">
        <v>44428</v>
      </c>
      <c r="B38" s="134">
        <v>44743</v>
      </c>
      <c r="C38" s="135">
        <f>NETWORKDAYS(A38,B38-1,Feriados!$A$2:$A$2000)</f>
        <v>216</v>
      </c>
      <c r="D38" s="128">
        <v>7.9767000000000001</v>
      </c>
      <c r="E38" s="137">
        <f t="shared" si="10"/>
        <v>-6.590000000000007E-2</v>
      </c>
      <c r="F38" s="138">
        <f t="shared" si="11"/>
        <v>936.33527500000002</v>
      </c>
      <c r="G38" s="137">
        <f t="shared" si="12"/>
        <v>93633.53</v>
      </c>
      <c r="H38" s="137">
        <f t="shared" si="13"/>
        <v>8.3030617540202911E-2</v>
      </c>
      <c r="I38" s="139">
        <f t="shared" si="14"/>
        <v>0.99902480588675791</v>
      </c>
      <c r="J38" s="134">
        <f t="shared" si="4"/>
        <v>44743</v>
      </c>
      <c r="K38" s="130">
        <v>7.95</v>
      </c>
      <c r="L38" s="137">
        <f t="shared" si="5"/>
        <v>-4.9999999999999822E-2</v>
      </c>
      <c r="M38" s="137">
        <f t="shared" si="1"/>
        <v>93653.38</v>
      </c>
      <c r="N38" s="127">
        <v>5.15</v>
      </c>
      <c r="O38" s="140">
        <f t="shared" si="15"/>
        <v>47.100000000005821</v>
      </c>
      <c r="P38" s="137">
        <f t="shared" si="6"/>
        <v>93653.38</v>
      </c>
      <c r="Q38" s="137">
        <f t="shared" si="16"/>
        <v>7.0255011265918377E-2</v>
      </c>
      <c r="R38" s="139">
        <f t="shared" si="17"/>
        <v>0.99867282078580644</v>
      </c>
      <c r="S38" s="169">
        <f t="shared" si="2"/>
        <v>2.6699999999999946E-2</v>
      </c>
      <c r="T38" s="157">
        <f t="shared" si="7"/>
        <v>-1.5900000000000247E-2</v>
      </c>
      <c r="U38" s="137">
        <f t="shared" si="8"/>
        <v>93633.53</v>
      </c>
      <c r="V38" s="137">
        <f t="shared" si="9"/>
        <v>93586.43</v>
      </c>
      <c r="W38" s="137">
        <f t="shared" si="18"/>
        <v>3.2686357934852417E-2</v>
      </c>
      <c r="X38" s="139">
        <f t="shared" si="19"/>
        <v>1.0065649885984895</v>
      </c>
      <c r="AA38" s="128">
        <v>7.9767000000000001</v>
      </c>
      <c r="AB38" s="130">
        <v>7.95</v>
      </c>
      <c r="AC38" s="127">
        <v>5.15</v>
      </c>
    </row>
    <row r="39" spans="1:29" x14ac:dyDescent="0.3">
      <c r="A39" s="134">
        <v>44431</v>
      </c>
      <c r="B39" s="134">
        <v>44743</v>
      </c>
      <c r="C39" s="135">
        <f>NETWORKDAYS(A39,B39-1,Feriados!$A$2:$A$2000)</f>
        <v>215</v>
      </c>
      <c r="D39" s="128">
        <v>7.9977</v>
      </c>
      <c r="E39" s="137">
        <f t="shared" si="10"/>
        <v>2.0999999999999908E-2</v>
      </c>
      <c r="F39" s="138">
        <f t="shared" si="11"/>
        <v>936.46508800000004</v>
      </c>
      <c r="G39" s="137">
        <f t="shared" si="12"/>
        <v>93646.51</v>
      </c>
      <c r="H39" s="137">
        <f t="shared" si="13"/>
        <v>1.3862555432853085E-2</v>
      </c>
      <c r="I39" s="139">
        <f t="shared" si="14"/>
        <v>0.99916329625426192</v>
      </c>
      <c r="J39" s="134">
        <f t="shared" si="4"/>
        <v>44743</v>
      </c>
      <c r="K39" s="130">
        <v>7.98</v>
      </c>
      <c r="L39" s="137">
        <f t="shared" si="5"/>
        <v>3.0000000000000249E-2</v>
      </c>
      <c r="M39" s="137">
        <f t="shared" si="1"/>
        <v>93659.61</v>
      </c>
      <c r="N39" s="127">
        <v>5.15</v>
      </c>
      <c r="O39" s="140">
        <f t="shared" si="15"/>
        <v>-12.429999999993015</v>
      </c>
      <c r="P39" s="137">
        <f t="shared" si="6"/>
        <v>93659.61</v>
      </c>
      <c r="Q39" s="137">
        <f t="shared" si="16"/>
        <v>6.6521891681770029E-3</v>
      </c>
      <c r="R39" s="139">
        <f t="shared" si="17"/>
        <v>0.9987392543910163</v>
      </c>
      <c r="S39" s="169">
        <f t="shared" si="2"/>
        <v>1.7699999999999605E-2</v>
      </c>
      <c r="T39" s="157">
        <f t="shared" si="7"/>
        <v>-9.0000000000003411E-3</v>
      </c>
      <c r="U39" s="137">
        <f t="shared" si="8"/>
        <v>93646.51</v>
      </c>
      <c r="V39" s="137">
        <f t="shared" si="9"/>
        <v>93658.939999999988</v>
      </c>
      <c r="W39" s="137">
        <f t="shared" si="18"/>
        <v>2.7137714449065875E-2</v>
      </c>
      <c r="X39" s="139">
        <f t="shared" si="19"/>
        <v>1.0068381473308397</v>
      </c>
      <c r="AA39" s="128">
        <v>7.9977</v>
      </c>
      <c r="AB39" s="130">
        <v>7.98</v>
      </c>
      <c r="AC39" s="127">
        <v>5.15</v>
      </c>
    </row>
    <row r="40" spans="1:29" x14ac:dyDescent="0.3">
      <c r="A40" s="134">
        <v>44432</v>
      </c>
      <c r="B40" s="134">
        <v>44743</v>
      </c>
      <c r="C40" s="135">
        <f>NETWORKDAYS(A40,B40-1,Feriados!$A$2:$A$2000)</f>
        <v>214</v>
      </c>
      <c r="D40" s="128">
        <v>7.9250999999999996</v>
      </c>
      <c r="E40" s="137">
        <f t="shared" si="10"/>
        <v>-7.2600000000000442E-2</v>
      </c>
      <c r="F40" s="138">
        <f t="shared" si="11"/>
        <v>937.28614400000004</v>
      </c>
      <c r="G40" s="137">
        <f t="shared" si="12"/>
        <v>93728.61</v>
      </c>
      <c r="H40" s="137">
        <f t="shared" si="13"/>
        <v>8.7670111785276283E-2</v>
      </c>
      <c r="I40" s="139">
        <f t="shared" si="14"/>
        <v>1.0000392638330056</v>
      </c>
      <c r="J40" s="134">
        <f t="shared" si="4"/>
        <v>44743</v>
      </c>
      <c r="K40" s="130">
        <v>7.92</v>
      </c>
      <c r="L40" s="137">
        <f t="shared" si="5"/>
        <v>-6.0000000000000497E-2</v>
      </c>
      <c r="M40" s="137">
        <f t="shared" si="1"/>
        <v>93732.38</v>
      </c>
      <c r="N40" s="127">
        <v>5.15</v>
      </c>
      <c r="O40" s="140">
        <f t="shared" si="15"/>
        <v>54.100000000005821</v>
      </c>
      <c r="P40" s="137">
        <f t="shared" si="6"/>
        <v>93732.38</v>
      </c>
      <c r="Q40" s="137">
        <f t="shared" si="16"/>
        <v>7.7696244944869264E-2</v>
      </c>
      <c r="R40" s="139">
        <f t="shared" si="17"/>
        <v>0.99951523728846847</v>
      </c>
      <c r="S40" s="169">
        <f t="shared" si="2"/>
        <v>5.0999999999996604E-3</v>
      </c>
      <c r="T40" s="157">
        <f t="shared" si="7"/>
        <v>-1.2599999999999945E-2</v>
      </c>
      <c r="U40" s="137">
        <f t="shared" si="8"/>
        <v>93728.61</v>
      </c>
      <c r="V40" s="137">
        <f t="shared" si="9"/>
        <v>93674.51</v>
      </c>
      <c r="W40" s="137">
        <f t="shared" si="18"/>
        <v>2.989967271604943E-2</v>
      </c>
      <c r="X40" s="139">
        <f t="shared" si="19"/>
        <v>1.0071391886416718</v>
      </c>
      <c r="AA40" s="128">
        <v>7.9250999999999996</v>
      </c>
      <c r="AB40" s="130">
        <v>7.92</v>
      </c>
      <c r="AC40" s="127">
        <v>5.15</v>
      </c>
    </row>
    <row r="41" spans="1:29" x14ac:dyDescent="0.3">
      <c r="A41" s="134">
        <v>44433</v>
      </c>
      <c r="B41" s="134">
        <v>44743</v>
      </c>
      <c r="C41" s="135">
        <f>NETWORKDAYS(A41,B41-1,Feriados!$A$2:$A$2000)</f>
        <v>213</v>
      </c>
      <c r="D41" s="128">
        <v>7.9875999999999996</v>
      </c>
      <c r="E41" s="137">
        <f t="shared" si="10"/>
        <v>6.25E-2</v>
      </c>
      <c r="F41" s="138">
        <f t="shared" si="11"/>
        <v>937.111176</v>
      </c>
      <c r="G41" s="137">
        <f t="shared" si="12"/>
        <v>93711.12</v>
      </c>
      <c r="H41" s="137">
        <f t="shared" si="13"/>
        <v>-1.8660257524361068E-2</v>
      </c>
      <c r="I41" s="139">
        <f t="shared" si="14"/>
        <v>0.99985265393102962</v>
      </c>
      <c r="J41" s="134">
        <f t="shared" si="4"/>
        <v>44743</v>
      </c>
      <c r="K41" s="130">
        <v>7.99</v>
      </c>
      <c r="L41" s="137">
        <f t="shared" si="5"/>
        <v>7.0000000000000284E-2</v>
      </c>
      <c r="M41" s="137">
        <f t="shared" si="1"/>
        <v>93709.36</v>
      </c>
      <c r="N41" s="127">
        <v>5.15</v>
      </c>
      <c r="O41" s="140">
        <f t="shared" si="15"/>
        <v>-41.69999999999709</v>
      </c>
      <c r="P41" s="137">
        <f t="shared" si="6"/>
        <v>93709.36</v>
      </c>
      <c r="Q41" s="137">
        <f t="shared" si="16"/>
        <v>-2.4559282501956936E-2</v>
      </c>
      <c r="R41" s="139">
        <f t="shared" si="17"/>
        <v>0.9992697635176927</v>
      </c>
      <c r="S41" s="169">
        <f t="shared" si="2"/>
        <v>-2.4000000000006239E-3</v>
      </c>
      <c r="T41" s="157">
        <f t="shared" si="7"/>
        <v>-7.5000000000002842E-3</v>
      </c>
      <c r="U41" s="137">
        <f t="shared" si="8"/>
        <v>93711.12</v>
      </c>
      <c r="V41" s="137">
        <f t="shared" si="9"/>
        <v>93752.819999999992</v>
      </c>
      <c r="W41" s="137">
        <f t="shared" si="18"/>
        <v>2.5829893348450206E-2</v>
      </c>
      <c r="X41" s="139">
        <f t="shared" si="19"/>
        <v>1.0073993316199685</v>
      </c>
      <c r="AA41" s="128">
        <v>7.9875999999999996</v>
      </c>
      <c r="AB41" s="130">
        <v>7.99</v>
      </c>
      <c r="AC41" s="127">
        <v>5.15</v>
      </c>
    </row>
    <row r="42" spans="1:29" x14ac:dyDescent="0.3">
      <c r="A42" s="134">
        <v>44434</v>
      </c>
      <c r="B42" s="134">
        <v>44743</v>
      </c>
      <c r="C42" s="135">
        <f>NETWORKDAYS(A42,B42-1,Feriados!$A$2:$A$2000)</f>
        <v>212</v>
      </c>
      <c r="D42" s="128">
        <v>8.0250000000000004</v>
      </c>
      <c r="E42" s="137">
        <f t="shared" si="10"/>
        <v>3.7400000000000766E-2</v>
      </c>
      <c r="F42" s="138">
        <f t="shared" si="11"/>
        <v>937.12395200000003</v>
      </c>
      <c r="G42" s="137">
        <f t="shared" si="12"/>
        <v>93712.4</v>
      </c>
      <c r="H42" s="137">
        <f t="shared" si="13"/>
        <v>1.3658997992882504E-3</v>
      </c>
      <c r="I42" s="139">
        <f t="shared" si="14"/>
        <v>0.99986631091642286</v>
      </c>
      <c r="J42" s="134">
        <f t="shared" si="4"/>
        <v>44743</v>
      </c>
      <c r="K42" s="130">
        <v>8.0250000000000004</v>
      </c>
      <c r="L42" s="137">
        <f t="shared" si="5"/>
        <v>3.5000000000000142E-2</v>
      </c>
      <c r="M42" s="137">
        <f t="shared" si="1"/>
        <v>93712.4</v>
      </c>
      <c r="N42" s="127">
        <v>5.15</v>
      </c>
      <c r="O42" s="140">
        <f t="shared" si="15"/>
        <v>-15.639999999999418</v>
      </c>
      <c r="P42" s="137">
        <f t="shared" si="6"/>
        <v>93712.4</v>
      </c>
      <c r="Q42" s="137">
        <f t="shared" si="16"/>
        <v>3.2440729506477695E-3</v>
      </c>
      <c r="R42" s="139">
        <f t="shared" si="17"/>
        <v>0.99930218055779496</v>
      </c>
      <c r="S42" s="169">
        <f t="shared" si="2"/>
        <v>0</v>
      </c>
      <c r="T42" s="157">
        <f t="shared" si="7"/>
        <v>2.4000000000006239E-3</v>
      </c>
      <c r="U42" s="137">
        <f t="shared" si="8"/>
        <v>93712.4</v>
      </c>
      <c r="V42" s="137">
        <f t="shared" si="9"/>
        <v>93728.04</v>
      </c>
      <c r="W42" s="137">
        <f t="shared" si="18"/>
        <v>1.8055487971979645E-2</v>
      </c>
      <c r="X42" s="139">
        <f t="shared" si="19"/>
        <v>1.0075812224851191</v>
      </c>
      <c r="AA42" s="128">
        <v>8.0250000000000004</v>
      </c>
      <c r="AB42" s="130">
        <v>8.0250000000000004</v>
      </c>
      <c r="AC42" s="127">
        <v>5.15</v>
      </c>
    </row>
    <row r="43" spans="1:29" x14ac:dyDescent="0.3">
      <c r="A43" s="134">
        <v>44435</v>
      </c>
      <c r="B43" s="134">
        <v>44743</v>
      </c>
      <c r="C43" s="135">
        <f>NETWORKDAYS(A43,B43-1,Feriados!$A$2:$A$2000)</f>
        <v>211</v>
      </c>
      <c r="D43" s="128">
        <v>8.0123999999999995</v>
      </c>
      <c r="E43" s="137">
        <f t="shared" si="10"/>
        <v>-1.2600000000000833E-2</v>
      </c>
      <c r="F43" s="138">
        <f t="shared" si="11"/>
        <v>937.50261499999999</v>
      </c>
      <c r="G43" s="137">
        <f t="shared" si="12"/>
        <v>93750.26</v>
      </c>
      <c r="H43" s="137">
        <f t="shared" si="13"/>
        <v>4.0400203174817406E-2</v>
      </c>
      <c r="I43" s="139">
        <f t="shared" si="14"/>
        <v>1.0002702589375096</v>
      </c>
      <c r="J43" s="134">
        <f t="shared" si="4"/>
        <v>44743</v>
      </c>
      <c r="K43" s="130">
        <v>8.01</v>
      </c>
      <c r="L43" s="137">
        <f t="shared" si="5"/>
        <v>-1.5000000000000568E-2</v>
      </c>
      <c r="M43" s="137">
        <f t="shared" si="1"/>
        <v>93752.01</v>
      </c>
      <c r="N43" s="127">
        <v>5.15</v>
      </c>
      <c r="O43" s="140">
        <f t="shared" si="15"/>
        <v>20.929999999993015</v>
      </c>
      <c r="P43" s="137">
        <f t="shared" si="6"/>
        <v>93752.01</v>
      </c>
      <c r="Q43" s="137">
        <f t="shared" si="16"/>
        <v>4.2267618799640694E-2</v>
      </c>
      <c r="R43" s="139">
        <f t="shared" si="17"/>
        <v>0.99972456179412961</v>
      </c>
      <c r="S43" s="169">
        <f t="shared" si="2"/>
        <v>2.3999999999997357E-3</v>
      </c>
      <c r="T43" s="157">
        <f t="shared" si="7"/>
        <v>2.3999999999997357E-3</v>
      </c>
      <c r="U43" s="137">
        <f t="shared" si="8"/>
        <v>93750.26</v>
      </c>
      <c r="V43" s="137">
        <f t="shared" si="9"/>
        <v>93729.33</v>
      </c>
      <c r="W43" s="137">
        <f t="shared" si="18"/>
        <v>1.8065912301912235E-2</v>
      </c>
      <c r="X43" s="139">
        <f t="shared" si="19"/>
        <v>1.0077632512251438</v>
      </c>
      <c r="AA43" s="128">
        <v>8.0123999999999995</v>
      </c>
      <c r="AB43" s="130">
        <v>8.01</v>
      </c>
      <c r="AC43" s="127">
        <v>5.15</v>
      </c>
    </row>
    <row r="44" spans="1:29" x14ac:dyDescent="0.3">
      <c r="A44" s="134">
        <v>44438</v>
      </c>
      <c r="B44" s="134">
        <v>44743</v>
      </c>
      <c r="C44" s="135">
        <f>NETWORKDAYS(A44,B44-1,Feriados!$A$2:$A$2000)</f>
        <v>210</v>
      </c>
      <c r="D44" s="128">
        <v>7.9659000000000004</v>
      </c>
      <c r="E44" s="137">
        <f t="shared" si="10"/>
        <v>-4.6499999999999098E-2</v>
      </c>
      <c r="F44" s="138">
        <f t="shared" si="11"/>
        <v>938.12597000000005</v>
      </c>
      <c r="G44" s="137">
        <f t="shared" si="12"/>
        <v>93812.6</v>
      </c>
      <c r="H44" s="137">
        <f t="shared" si="13"/>
        <v>6.6495815584954876E-2</v>
      </c>
      <c r="I44" s="139">
        <f t="shared" si="14"/>
        <v>1.0009353968042438</v>
      </c>
      <c r="J44" s="134">
        <f t="shared" si="4"/>
        <v>44743</v>
      </c>
      <c r="K44" s="130">
        <v>7.96</v>
      </c>
      <c r="L44" s="137">
        <f t="shared" si="5"/>
        <v>-4.9999999999999822E-2</v>
      </c>
      <c r="M44" s="137">
        <f t="shared" si="1"/>
        <v>93816.87</v>
      </c>
      <c r="N44" s="127">
        <v>5.15</v>
      </c>
      <c r="O44" s="140">
        <f t="shared" si="15"/>
        <v>46.179999999993015</v>
      </c>
      <c r="P44" s="137">
        <f t="shared" si="6"/>
        <v>93816.87</v>
      </c>
      <c r="Q44" s="137">
        <f t="shared" si="16"/>
        <v>6.9182516726851162E-2</v>
      </c>
      <c r="R44" s="139">
        <f t="shared" si="17"/>
        <v>1.0004161964063152</v>
      </c>
      <c r="S44" s="169">
        <f t="shared" si="2"/>
        <v>5.9000000000004604E-3</v>
      </c>
      <c r="T44" s="157">
        <f t="shared" si="7"/>
        <v>3.5000000000007248E-3</v>
      </c>
      <c r="U44" s="137">
        <f t="shared" si="8"/>
        <v>93812.6</v>
      </c>
      <c r="V44" s="137">
        <f t="shared" si="9"/>
        <v>93766.420000000013</v>
      </c>
      <c r="W44" s="137">
        <f t="shared" si="18"/>
        <v>1.7237285528604041E-2</v>
      </c>
      <c r="X44" s="139">
        <f t="shared" si="19"/>
        <v>1.0079369622542098</v>
      </c>
      <c r="AA44" s="128">
        <v>7.9659000000000004</v>
      </c>
      <c r="AB44" s="130">
        <v>7.96</v>
      </c>
      <c r="AC44" s="127">
        <v>5.15</v>
      </c>
    </row>
    <row r="45" spans="1:29" x14ac:dyDescent="0.3">
      <c r="A45" s="134">
        <v>44439</v>
      </c>
      <c r="B45" s="134">
        <v>44743</v>
      </c>
      <c r="C45" s="135">
        <f>NETWORKDAYS(A45,B45-1,Feriados!$A$2:$A$2000)</f>
        <v>209</v>
      </c>
      <c r="D45" s="128">
        <v>7.9993999999999996</v>
      </c>
      <c r="E45" s="137">
        <f t="shared" si="10"/>
        <v>3.3499999999999197E-2</v>
      </c>
      <c r="F45" s="138">
        <f t="shared" si="11"/>
        <v>938.16992200000004</v>
      </c>
      <c r="G45" s="137">
        <f t="shared" si="12"/>
        <v>93816.99</v>
      </c>
      <c r="H45" s="137">
        <f t="shared" si="13"/>
        <v>4.6795419804901428E-3</v>
      </c>
      <c r="I45" s="139">
        <f t="shared" si="14"/>
        <v>1.000982235996335</v>
      </c>
      <c r="J45" s="134">
        <f t="shared" si="4"/>
        <v>44743</v>
      </c>
      <c r="K45" s="130">
        <v>7.99</v>
      </c>
      <c r="L45" s="137">
        <f t="shared" si="5"/>
        <v>3.0000000000000249E-2</v>
      </c>
      <c r="M45" s="137">
        <f t="shared" si="1"/>
        <v>93823.77</v>
      </c>
      <c r="N45" s="127">
        <v>5.15</v>
      </c>
      <c r="O45" s="140">
        <f t="shared" si="15"/>
        <v>-11.80000000000291</v>
      </c>
      <c r="P45" s="137">
        <f t="shared" si="6"/>
        <v>93823.77</v>
      </c>
      <c r="Q45" s="137">
        <f t="shared" si="16"/>
        <v>7.3547540010654444E-3</v>
      </c>
      <c r="R45" s="139">
        <f t="shared" si="17"/>
        <v>1.0004897745565478</v>
      </c>
      <c r="S45" s="169">
        <f t="shared" si="2"/>
        <v>9.3999999999994088E-3</v>
      </c>
      <c r="T45" s="157">
        <f t="shared" si="7"/>
        <v>3.4999999999989484E-3</v>
      </c>
      <c r="U45" s="137">
        <f t="shared" si="8"/>
        <v>93816.99</v>
      </c>
      <c r="V45" s="137">
        <f t="shared" si="9"/>
        <v>93828.790000000008</v>
      </c>
      <c r="W45" s="137">
        <f t="shared" si="18"/>
        <v>1.7257809718529415E-2</v>
      </c>
      <c r="X45" s="139">
        <f t="shared" si="19"/>
        <v>1.0081109100972383</v>
      </c>
      <c r="AA45" s="128">
        <v>7.9993999999999996</v>
      </c>
      <c r="AB45" s="130">
        <v>7.99</v>
      </c>
      <c r="AC45" s="127">
        <v>5.15</v>
      </c>
    </row>
    <row r="46" spans="1:29" x14ac:dyDescent="0.3">
      <c r="A46" s="134">
        <v>44440</v>
      </c>
      <c r="B46" s="134">
        <v>44743</v>
      </c>
      <c r="C46" s="135">
        <f>NETWORKDAYS(A46,B46-1,Feriados!$A$2:$A$2000)</f>
        <v>208</v>
      </c>
      <c r="D46" s="128">
        <v>8.07</v>
      </c>
      <c r="E46" s="137">
        <f t="shared" si="10"/>
        <v>7.0600000000000662E-2</v>
      </c>
      <c r="F46" s="138">
        <f t="shared" si="11"/>
        <v>937.95040400000005</v>
      </c>
      <c r="G46" s="137">
        <f t="shared" si="12"/>
        <v>93795.04</v>
      </c>
      <c r="H46" s="137">
        <f t="shared" si="13"/>
        <v>-2.339661504809909E-2</v>
      </c>
      <c r="I46" s="139">
        <f t="shared" si="14"/>
        <v>1.000748040035879</v>
      </c>
      <c r="J46" s="134">
        <f t="shared" si="4"/>
        <v>44743</v>
      </c>
      <c r="K46" s="130">
        <v>8.0649999999999995</v>
      </c>
      <c r="L46" s="137">
        <f t="shared" si="5"/>
        <v>7.4999999999999289E-2</v>
      </c>
      <c r="M46" s="137">
        <f t="shared" si="1"/>
        <v>93798.62</v>
      </c>
      <c r="N46" s="127">
        <v>5.15</v>
      </c>
      <c r="O46" s="140">
        <f t="shared" si="15"/>
        <v>-43.850000000005821</v>
      </c>
      <c r="P46" s="137">
        <f t="shared" si="6"/>
        <v>93798.62</v>
      </c>
      <c r="Q46" s="137">
        <f t="shared" si="16"/>
        <v>-2.6805573896693247E-2</v>
      </c>
      <c r="R46" s="139">
        <f t="shared" si="17"/>
        <v>1.0002215875307001</v>
      </c>
      <c r="S46" s="169">
        <f t="shared" si="2"/>
        <v>5.0000000000007816E-3</v>
      </c>
      <c r="T46" s="157">
        <f t="shared" si="7"/>
        <v>-4.3999999999986272E-3</v>
      </c>
      <c r="U46" s="137">
        <f t="shared" si="8"/>
        <v>93795.04</v>
      </c>
      <c r="V46" s="137">
        <f t="shared" si="9"/>
        <v>93838.89</v>
      </c>
      <c r="W46" s="137">
        <f t="shared" si="18"/>
        <v>2.3343319797408668E-2</v>
      </c>
      <c r="X46" s="139">
        <f t="shared" si="19"/>
        <v>1.0083462366508948</v>
      </c>
      <c r="AA46" s="128">
        <v>8.07</v>
      </c>
      <c r="AB46" s="130">
        <v>8.0649999999999995</v>
      </c>
      <c r="AC46" s="127">
        <v>5.15</v>
      </c>
    </row>
    <row r="47" spans="1:29" x14ac:dyDescent="0.3">
      <c r="A47" s="134">
        <v>44441</v>
      </c>
      <c r="B47" s="134">
        <v>44743</v>
      </c>
      <c r="C47" s="135">
        <f>NETWORKDAYS(A47,B47-1,Feriados!$A$2:$A$2000)</f>
        <v>207</v>
      </c>
      <c r="D47" s="128">
        <v>8.1549999999999994</v>
      </c>
      <c r="E47" s="137">
        <f t="shared" si="10"/>
        <v>8.4999999999999076E-2</v>
      </c>
      <c r="F47" s="138">
        <f t="shared" si="11"/>
        <v>937.63357099999996</v>
      </c>
      <c r="G47" s="137">
        <f t="shared" si="12"/>
        <v>93763.36</v>
      </c>
      <c r="H47" s="137">
        <f t="shared" si="13"/>
        <v>-3.377577321784786E-2</v>
      </c>
      <c r="I47" s="139">
        <f t="shared" si="14"/>
        <v>1.0004100296473946</v>
      </c>
      <c r="J47" s="134">
        <f t="shared" si="4"/>
        <v>44743</v>
      </c>
      <c r="K47" s="130">
        <v>8.16</v>
      </c>
      <c r="L47" s="137">
        <f t="shared" si="5"/>
        <v>9.5000000000000639E-2</v>
      </c>
      <c r="M47" s="137">
        <f t="shared" si="1"/>
        <v>93759.8</v>
      </c>
      <c r="N47" s="127">
        <v>5.15</v>
      </c>
      <c r="O47" s="140">
        <f t="shared" si="15"/>
        <v>-57.509999999994761</v>
      </c>
      <c r="P47" s="137">
        <f t="shared" si="6"/>
        <v>93759.8</v>
      </c>
      <c r="Q47" s="137">
        <f t="shared" si="16"/>
        <v>-4.1386536390397577E-2</v>
      </c>
      <c r="R47" s="139">
        <f t="shared" si="17"/>
        <v>0.99980763045939214</v>
      </c>
      <c r="S47" s="169">
        <f t="shared" si="2"/>
        <v>-5.0000000000007816E-3</v>
      </c>
      <c r="T47" s="157">
        <f t="shared" si="7"/>
        <v>-1.0000000000001563E-2</v>
      </c>
      <c r="U47" s="137">
        <f t="shared" si="8"/>
        <v>93763.36</v>
      </c>
      <c r="V47" s="137">
        <f t="shared" si="9"/>
        <v>93820.87</v>
      </c>
      <c r="W47" s="137">
        <f t="shared" si="18"/>
        <v>2.7538769640700345E-2</v>
      </c>
      <c r="X47" s="139">
        <f t="shared" si="19"/>
        <v>1.0086239227981868</v>
      </c>
      <c r="AA47" s="128">
        <v>8.1549999999999994</v>
      </c>
      <c r="AB47" s="130">
        <v>8.16</v>
      </c>
      <c r="AC47" s="127">
        <v>5.15</v>
      </c>
    </row>
    <row r="48" spans="1:29" x14ac:dyDescent="0.3">
      <c r="A48" s="134">
        <v>44442</v>
      </c>
      <c r="B48" s="134">
        <v>44743</v>
      </c>
      <c r="C48" s="135">
        <f>NETWORKDAYS(A48,B48-1,Feriados!$A$2:$A$2000)</f>
        <v>206</v>
      </c>
      <c r="D48" s="128">
        <v>8.1357999999999997</v>
      </c>
      <c r="E48" s="137">
        <f t="shared" si="10"/>
        <v>-1.9199999999999662E-2</v>
      </c>
      <c r="F48" s="138">
        <f t="shared" si="11"/>
        <v>938.06143899999995</v>
      </c>
      <c r="G48" s="137">
        <f t="shared" si="12"/>
        <v>93806.14</v>
      </c>
      <c r="H48" s="137">
        <f t="shared" si="13"/>
        <v>4.562549806235161E-2</v>
      </c>
      <c r="I48" s="139">
        <f t="shared" si="14"/>
        <v>1.0008664717060869</v>
      </c>
      <c r="J48" s="134">
        <f t="shared" si="4"/>
        <v>44743</v>
      </c>
      <c r="K48" s="130">
        <v>8.1449999999999996</v>
      </c>
      <c r="L48" s="137">
        <f t="shared" si="5"/>
        <v>-1.5000000000000568E-2</v>
      </c>
      <c r="M48" s="137">
        <f t="shared" si="1"/>
        <v>93799.62</v>
      </c>
      <c r="N48" s="127">
        <v>5.15</v>
      </c>
      <c r="O48" s="140">
        <f t="shared" si="15"/>
        <v>21.129999999990105</v>
      </c>
      <c r="P48" s="137">
        <f t="shared" si="6"/>
        <v>93799.62</v>
      </c>
      <c r="Q48" s="137">
        <f t="shared" si="16"/>
        <v>4.2470227112256786E-2</v>
      </c>
      <c r="R48" s="139">
        <f t="shared" si="17"/>
        <v>1.000232251030734</v>
      </c>
      <c r="S48" s="169">
        <f t="shared" si="2"/>
        <v>-9.1999999999998749E-3</v>
      </c>
      <c r="T48" s="157">
        <f t="shared" si="7"/>
        <v>-4.1999999999990933E-3</v>
      </c>
      <c r="U48" s="137">
        <f t="shared" si="8"/>
        <v>93806.14</v>
      </c>
      <c r="V48" s="137">
        <f t="shared" si="9"/>
        <v>93785.010000000009</v>
      </c>
      <c r="W48" s="137">
        <f t="shared" si="18"/>
        <v>2.3090042848306069E-2</v>
      </c>
      <c r="X48" s="139">
        <f t="shared" si="19"/>
        <v>1.0088568144941392</v>
      </c>
      <c r="AA48" s="128">
        <v>8.1357999999999997</v>
      </c>
      <c r="AB48" s="130">
        <v>8.1449999999999996</v>
      </c>
      <c r="AC48" s="127">
        <v>5.15</v>
      </c>
    </row>
    <row r="49" spans="1:29" x14ac:dyDescent="0.3">
      <c r="A49" s="134">
        <v>44445</v>
      </c>
      <c r="B49" s="134">
        <v>44743</v>
      </c>
      <c r="C49" s="135">
        <f>NETWORKDAYS(A49,B49-1,Feriados!$A$2:$A$2000)</f>
        <v>205</v>
      </c>
      <c r="D49" s="128">
        <v>8.1156000000000006</v>
      </c>
      <c r="E49" s="137">
        <f t="shared" si="10"/>
        <v>-2.0199999999999108E-2</v>
      </c>
      <c r="F49" s="138">
        <f t="shared" si="11"/>
        <v>938.49526400000002</v>
      </c>
      <c r="G49" s="137">
        <f t="shared" si="12"/>
        <v>93849.53</v>
      </c>
      <c r="H49" s="137">
        <f t="shared" si="13"/>
        <v>4.6254967958381243E-2</v>
      </c>
      <c r="I49" s="139">
        <f t="shared" si="14"/>
        <v>1.0013294221718807</v>
      </c>
      <c r="J49" s="134">
        <f t="shared" si="4"/>
        <v>44743</v>
      </c>
      <c r="K49" s="130">
        <v>8.125</v>
      </c>
      <c r="L49" s="137">
        <f t="shared" si="5"/>
        <v>-1.9999999999999574E-2</v>
      </c>
      <c r="M49" s="137">
        <f t="shared" si="1"/>
        <v>93842.89</v>
      </c>
      <c r="N49" s="127">
        <v>5.15</v>
      </c>
      <c r="O49" s="140">
        <f t="shared" si="15"/>
        <v>24.580000000001746</v>
      </c>
      <c r="P49" s="137">
        <f t="shared" si="6"/>
        <v>93842.89</v>
      </c>
      <c r="Q49" s="137">
        <f t="shared" si="16"/>
        <v>4.6130250847498111E-2</v>
      </c>
      <c r="R49" s="139">
        <f t="shared" si="17"/>
        <v>1.0006936606771921</v>
      </c>
      <c r="S49" s="169">
        <f t="shared" si="2"/>
        <v>-9.3999999999994088E-3</v>
      </c>
      <c r="T49" s="157">
        <f t="shared" si="7"/>
        <v>-1.9999999999953388E-4</v>
      </c>
      <c r="U49" s="137">
        <f t="shared" si="8"/>
        <v>93849.53</v>
      </c>
      <c r="V49" s="137">
        <f t="shared" si="9"/>
        <v>93824.95</v>
      </c>
      <c r="W49" s="137">
        <f t="shared" si="18"/>
        <v>2.0051992332259516E-2</v>
      </c>
      <c r="X49" s="139">
        <f t="shared" si="19"/>
        <v>1.0090591103852251</v>
      </c>
      <c r="AA49" s="128">
        <v>8.1156000000000006</v>
      </c>
      <c r="AB49" s="130">
        <v>8.125</v>
      </c>
      <c r="AC49" s="127">
        <v>5.15</v>
      </c>
    </row>
    <row r="50" spans="1:29" x14ac:dyDescent="0.3">
      <c r="A50" s="134">
        <v>44447</v>
      </c>
      <c r="B50" s="134">
        <v>44743</v>
      </c>
      <c r="C50" s="135">
        <f>NETWORKDAYS(A50,B50-1,Feriados!$A$2:$A$2000)</f>
        <v>204</v>
      </c>
      <c r="D50" s="128">
        <v>8.2369000000000003</v>
      </c>
      <c r="E50" s="137">
        <f t="shared" si="10"/>
        <v>0.12129999999999974</v>
      </c>
      <c r="F50" s="138">
        <f t="shared" si="11"/>
        <v>937.93412999999998</v>
      </c>
      <c r="G50" s="137">
        <f t="shared" si="12"/>
        <v>93793.41</v>
      </c>
      <c r="H50" s="137">
        <f t="shared" si="13"/>
        <v>-5.9797848747877858E-2</v>
      </c>
      <c r="I50" s="139">
        <f t="shared" si="14"/>
        <v>1.0007306487185423</v>
      </c>
      <c r="J50" s="134">
        <f t="shared" si="4"/>
        <v>44743</v>
      </c>
      <c r="K50" s="130">
        <v>8.25</v>
      </c>
      <c r="L50" s="137">
        <f t="shared" si="5"/>
        <v>0.125</v>
      </c>
      <c r="M50" s="137">
        <f t="shared" si="1"/>
        <v>93784.22</v>
      </c>
      <c r="N50" s="127">
        <v>5.15</v>
      </c>
      <c r="O50" s="140">
        <f t="shared" si="15"/>
        <v>-77.369999999995343</v>
      </c>
      <c r="P50" s="137">
        <f t="shared" si="6"/>
        <v>93784.22</v>
      </c>
      <c r="Q50" s="137">
        <f t="shared" si="16"/>
        <v>-6.2519387457060649E-2</v>
      </c>
      <c r="R50" s="139">
        <f t="shared" si="17"/>
        <v>1.0000680331302152</v>
      </c>
      <c r="S50" s="169">
        <f t="shared" si="2"/>
        <v>-1.3099999999999667E-2</v>
      </c>
      <c r="T50" s="157">
        <f t="shared" si="7"/>
        <v>-3.7000000000002586E-3</v>
      </c>
      <c r="U50" s="137">
        <f t="shared" si="8"/>
        <v>93793.41</v>
      </c>
      <c r="V50" s="137">
        <f t="shared" si="9"/>
        <v>93870.78</v>
      </c>
      <c r="W50" s="137">
        <f t="shared" si="18"/>
        <v>2.264262804512196E-2</v>
      </c>
      <c r="X50" s="139">
        <f t="shared" si="19"/>
        <v>1.009287587886345</v>
      </c>
      <c r="AA50" s="128">
        <v>8.2369000000000003</v>
      </c>
      <c r="AB50" s="130">
        <v>8.25</v>
      </c>
      <c r="AC50" s="127">
        <v>5.15</v>
      </c>
    </row>
    <row r="51" spans="1:29" x14ac:dyDescent="0.3">
      <c r="A51" s="134">
        <v>44448</v>
      </c>
      <c r="B51" s="134">
        <v>44743</v>
      </c>
      <c r="C51" s="135">
        <f>NETWORKDAYS(A51,B51-1,Feriados!$A$2:$A$2000)</f>
        <v>203</v>
      </c>
      <c r="D51" s="128">
        <v>8.7507000000000001</v>
      </c>
      <c r="E51" s="137">
        <f t="shared" si="10"/>
        <v>0.51379999999999981</v>
      </c>
      <c r="F51" s="138">
        <f t="shared" si="11"/>
        <v>934.65632800000003</v>
      </c>
      <c r="G51" s="137">
        <f t="shared" si="12"/>
        <v>93465.63</v>
      </c>
      <c r="H51" s="137">
        <f t="shared" si="13"/>
        <v>-0.34947018132723828</v>
      </c>
      <c r="I51" s="139">
        <f t="shared" si="14"/>
        <v>0.99723339350586837</v>
      </c>
      <c r="J51" s="134">
        <f t="shared" si="4"/>
        <v>44743</v>
      </c>
      <c r="K51" s="130">
        <v>8.8000000000000007</v>
      </c>
      <c r="L51" s="137">
        <f t="shared" si="5"/>
        <v>0.55000000000000071</v>
      </c>
      <c r="M51" s="137">
        <f t="shared" si="1"/>
        <v>93431.51</v>
      </c>
      <c r="N51" s="127">
        <v>5.15</v>
      </c>
      <c r="O51" s="140">
        <f t="shared" si="15"/>
        <v>-371.40000000000873</v>
      </c>
      <c r="P51" s="137">
        <f t="shared" si="6"/>
        <v>93431.51</v>
      </c>
      <c r="Q51" s="137">
        <f t="shared" si="16"/>
        <v>-0.3760867233315035</v>
      </c>
      <c r="R51" s="139">
        <f t="shared" si="17"/>
        <v>0.99630691003332994</v>
      </c>
      <c r="S51" s="169">
        <f t="shared" si="2"/>
        <v>-4.9300000000000566E-2</v>
      </c>
      <c r="T51" s="157">
        <f t="shared" si="7"/>
        <v>-3.6200000000000898E-2</v>
      </c>
      <c r="U51" s="137">
        <f t="shared" si="8"/>
        <v>93465.63</v>
      </c>
      <c r="V51" s="137">
        <f t="shared" si="9"/>
        <v>93837.030000000013</v>
      </c>
      <c r="W51" s="137">
        <f t="shared" si="18"/>
        <v>4.6506465646167783E-2</v>
      </c>
      <c r="X51" s="139">
        <f t="shared" si="19"/>
        <v>1.0097569718716763</v>
      </c>
      <c r="AA51" s="128">
        <v>8.7507000000000001</v>
      </c>
      <c r="AB51" s="130">
        <v>8.8000000000000007</v>
      </c>
      <c r="AC51" s="127">
        <v>5.15</v>
      </c>
    </row>
    <row r="52" spans="1:29" x14ac:dyDescent="0.3">
      <c r="A52" s="134">
        <v>44449</v>
      </c>
      <c r="B52" s="134">
        <v>44743</v>
      </c>
      <c r="C52" s="135">
        <f>NETWORKDAYS(A52,B52-1,Feriados!$A$2:$A$2000)</f>
        <v>202</v>
      </c>
      <c r="D52" s="128">
        <v>8.5945999999999998</v>
      </c>
      <c r="E52" s="137">
        <f t="shared" si="10"/>
        <v>-0.15610000000000035</v>
      </c>
      <c r="F52" s="138">
        <f t="shared" si="11"/>
        <v>936.04467599999998</v>
      </c>
      <c r="G52" s="137">
        <f t="shared" si="12"/>
        <v>93604.47</v>
      </c>
      <c r="H52" s="137">
        <f t="shared" si="13"/>
        <v>0.1485465833804378</v>
      </c>
      <c r="I52" s="139">
        <f t="shared" si="14"/>
        <v>0.99871474964025009</v>
      </c>
      <c r="J52" s="134">
        <f t="shared" si="4"/>
        <v>44743</v>
      </c>
      <c r="K52" s="130">
        <v>8.65</v>
      </c>
      <c r="L52" s="137">
        <f t="shared" si="5"/>
        <v>-0.15000000000000036</v>
      </c>
      <c r="M52" s="137">
        <f t="shared" si="1"/>
        <v>93566.21</v>
      </c>
      <c r="N52" s="127">
        <v>5.15</v>
      </c>
      <c r="O52" s="140">
        <f t="shared" si="15"/>
        <v>116.08000000000175</v>
      </c>
      <c r="P52" s="137">
        <f t="shared" si="6"/>
        <v>93566.21</v>
      </c>
      <c r="Q52" s="137">
        <f t="shared" si="16"/>
        <v>0.14416977741236181</v>
      </c>
      <c r="R52" s="139">
        <f t="shared" si="17"/>
        <v>0.997743283487869</v>
      </c>
      <c r="S52" s="169">
        <f t="shared" si="2"/>
        <v>-5.540000000000056E-2</v>
      </c>
      <c r="T52" s="157">
        <f t="shared" si="7"/>
        <v>-6.0999999999999943E-3</v>
      </c>
      <c r="U52" s="137">
        <f t="shared" si="8"/>
        <v>93604.47</v>
      </c>
      <c r="V52" s="137">
        <f t="shared" si="9"/>
        <v>93488.39</v>
      </c>
      <c r="W52" s="137">
        <f t="shared" si="18"/>
        <v>2.4351197333172259E-2</v>
      </c>
      <c r="X52" s="139">
        <f t="shared" si="19"/>
        <v>1.0100028597844823</v>
      </c>
      <c r="AA52" s="128">
        <v>8.5945999999999998</v>
      </c>
      <c r="AB52" s="130">
        <v>8.65</v>
      </c>
      <c r="AC52" s="127">
        <v>5.15</v>
      </c>
    </row>
    <row r="53" spans="1:29" x14ac:dyDescent="0.3">
      <c r="A53" s="134">
        <v>44452</v>
      </c>
      <c r="B53" s="134">
        <v>44743</v>
      </c>
      <c r="C53" s="135">
        <f>NETWORKDAYS(A53,B53-1,Feriados!$A$2:$A$2000)</f>
        <v>201</v>
      </c>
      <c r="D53" s="128">
        <v>8.6266999999999996</v>
      </c>
      <c r="E53" s="137">
        <f t="shared" si="10"/>
        <v>3.2099999999999795E-2</v>
      </c>
      <c r="F53" s="138">
        <f t="shared" si="11"/>
        <v>936.13028199999997</v>
      </c>
      <c r="G53" s="137">
        <f t="shared" si="12"/>
        <v>93613.03</v>
      </c>
      <c r="H53" s="137">
        <f t="shared" si="13"/>
        <v>9.1448624194967465E-3</v>
      </c>
      <c r="I53" s="139">
        <f t="shared" si="14"/>
        <v>0.99880608073006794</v>
      </c>
      <c r="J53" s="134">
        <f t="shared" si="4"/>
        <v>44743</v>
      </c>
      <c r="K53" s="130">
        <v>8.68</v>
      </c>
      <c r="L53" s="137">
        <f t="shared" si="5"/>
        <v>2.9999999999999361E-2</v>
      </c>
      <c r="M53" s="137">
        <f t="shared" si="1"/>
        <v>93576.41</v>
      </c>
      <c r="N53" s="127">
        <v>5.15</v>
      </c>
      <c r="O53" s="140">
        <f t="shared" si="15"/>
        <v>-8.4499999999970896</v>
      </c>
      <c r="P53" s="137">
        <f t="shared" si="6"/>
        <v>93576.41</v>
      </c>
      <c r="Q53" s="137">
        <f t="shared" si="16"/>
        <v>1.0901371339078203E-2</v>
      </c>
      <c r="R53" s="139">
        <f t="shared" si="17"/>
        <v>0.99785205118821274</v>
      </c>
      <c r="S53" s="169">
        <f t="shared" si="2"/>
        <v>-5.3300000000000125E-2</v>
      </c>
      <c r="T53" s="157">
        <f t="shared" si="7"/>
        <v>2.1000000000004349E-3</v>
      </c>
      <c r="U53" s="137">
        <f t="shared" si="8"/>
        <v>93613.03</v>
      </c>
      <c r="V53" s="137">
        <f t="shared" si="9"/>
        <v>93621.48</v>
      </c>
      <c r="W53" s="137">
        <f t="shared" si="18"/>
        <v>1.8172209083600066E-2</v>
      </c>
      <c r="X53" s="139">
        <f t="shared" si="19"/>
        <v>1.0101863996159126</v>
      </c>
      <c r="AA53" s="128">
        <v>8.6266999999999996</v>
      </c>
      <c r="AB53" s="130">
        <v>8.68</v>
      </c>
      <c r="AC53" s="127">
        <v>5.15</v>
      </c>
    </row>
    <row r="54" spans="1:29" x14ac:dyDescent="0.3">
      <c r="A54" s="134">
        <v>44453</v>
      </c>
      <c r="B54" s="134">
        <v>44743</v>
      </c>
      <c r="C54" s="135">
        <f>NETWORKDAYS(A54,B54-1,Feriados!$A$2:$A$2000)</f>
        <v>200</v>
      </c>
      <c r="D54" s="128">
        <v>8.3699999999999992</v>
      </c>
      <c r="E54" s="137">
        <f t="shared" si="10"/>
        <v>-0.25670000000000037</v>
      </c>
      <c r="F54" s="138">
        <f t="shared" si="11"/>
        <v>938.19774800000005</v>
      </c>
      <c r="G54" s="137">
        <f t="shared" si="12"/>
        <v>93819.77</v>
      </c>
      <c r="H54" s="137">
        <f t="shared" si="13"/>
        <v>0.22084532463055861</v>
      </c>
      <c r="I54" s="139">
        <f t="shared" si="14"/>
        <v>1.0010118972614861</v>
      </c>
      <c r="J54" s="134">
        <f t="shared" si="4"/>
        <v>44743</v>
      </c>
      <c r="K54" s="130">
        <v>8.39</v>
      </c>
      <c r="L54" s="137">
        <f t="shared" si="5"/>
        <v>-0.28999999999999915</v>
      </c>
      <c r="M54" s="137">
        <f t="shared" si="1"/>
        <v>93806.04</v>
      </c>
      <c r="N54" s="127">
        <v>5.15</v>
      </c>
      <c r="O54" s="140">
        <f t="shared" si="15"/>
        <v>210.97999999999593</v>
      </c>
      <c r="P54" s="137">
        <f t="shared" si="6"/>
        <v>93806.04</v>
      </c>
      <c r="Q54" s="137">
        <f t="shared" si="16"/>
        <v>0.24539304296882225</v>
      </c>
      <c r="R54" s="139">
        <f t="shared" si="17"/>
        <v>1.0003007107009503</v>
      </c>
      <c r="S54" s="169">
        <f t="shared" si="2"/>
        <v>-2.000000000000135E-2</v>
      </c>
      <c r="T54" s="157">
        <f t="shared" si="7"/>
        <v>3.3299999999998775E-2</v>
      </c>
      <c r="U54" s="137">
        <f t="shared" si="8"/>
        <v>93819.77</v>
      </c>
      <c r="V54" s="137">
        <f t="shared" si="9"/>
        <v>93608.790000000008</v>
      </c>
      <c r="W54" s="137">
        <f t="shared" si="18"/>
        <v>-4.5292840109900645E-3</v>
      </c>
      <c r="X54" s="139">
        <f t="shared" si="19"/>
        <v>1.0101406454048336</v>
      </c>
      <c r="AA54" s="128">
        <v>8.3699999999999992</v>
      </c>
      <c r="AB54" s="130">
        <v>8.39</v>
      </c>
      <c r="AC54" s="127">
        <v>5.15</v>
      </c>
    </row>
    <row r="55" spans="1:29" x14ac:dyDescent="0.3">
      <c r="A55" s="134">
        <v>44454</v>
      </c>
      <c r="B55" s="134">
        <v>44743</v>
      </c>
      <c r="C55" s="135">
        <f>NETWORKDAYS(A55,B55-1,Feriados!$A$2:$A$2000)</f>
        <v>199</v>
      </c>
      <c r="D55" s="128">
        <v>8.4397000000000002</v>
      </c>
      <c r="E55" s="137">
        <f t="shared" si="10"/>
        <v>6.9700000000000983E-2</v>
      </c>
      <c r="F55" s="138">
        <f t="shared" si="11"/>
        <v>938.020668</v>
      </c>
      <c r="G55" s="137">
        <f t="shared" si="12"/>
        <v>93802.07</v>
      </c>
      <c r="H55" s="137">
        <f t="shared" si="13"/>
        <v>-1.8865959701241941E-2</v>
      </c>
      <c r="I55" s="139">
        <f t="shared" si="14"/>
        <v>1.0008230467603441</v>
      </c>
      <c r="J55" s="134">
        <f t="shared" si="4"/>
        <v>44743</v>
      </c>
      <c r="K55" s="130">
        <v>8.4499999999999993</v>
      </c>
      <c r="L55" s="137">
        <f t="shared" si="5"/>
        <v>5.9999999999998721E-2</v>
      </c>
      <c r="M55" s="137">
        <f t="shared" si="1"/>
        <v>93795.03</v>
      </c>
      <c r="N55" s="127">
        <v>5.15</v>
      </c>
      <c r="O55" s="140">
        <f t="shared" si="15"/>
        <v>-29.710000000006403</v>
      </c>
      <c r="P55" s="137">
        <f t="shared" si="6"/>
        <v>93795.03</v>
      </c>
      <c r="Q55" s="137">
        <f t="shared" si="16"/>
        <v>-1.1736984100374492E-2</v>
      </c>
      <c r="R55" s="139">
        <f t="shared" si="17"/>
        <v>1.0001833055655793</v>
      </c>
      <c r="S55" s="169">
        <f t="shared" si="2"/>
        <v>-1.0299999999999088E-2</v>
      </c>
      <c r="T55" s="157">
        <f t="shared" si="7"/>
        <v>9.7000000000022624E-3</v>
      </c>
      <c r="U55" s="137">
        <f t="shared" si="8"/>
        <v>93802.07</v>
      </c>
      <c r="V55" s="137">
        <f t="shared" si="9"/>
        <v>93831.780000000013</v>
      </c>
      <c r="W55" s="137">
        <f t="shared" si="18"/>
        <v>1.2801139887685942E-2</v>
      </c>
      <c r="X55" s="139">
        <f t="shared" si="19"/>
        <v>1.0102699549219143</v>
      </c>
      <c r="AA55" s="128">
        <v>8.4397000000000002</v>
      </c>
      <c r="AB55" s="130">
        <v>8.4499999999999993</v>
      </c>
      <c r="AC55" s="127">
        <v>5.15</v>
      </c>
    </row>
    <row r="56" spans="1:29" x14ac:dyDescent="0.3">
      <c r="A56" s="134">
        <v>44455</v>
      </c>
      <c r="B56" s="136">
        <v>44743</v>
      </c>
      <c r="C56" s="135">
        <f>NETWORKDAYS(A56,B56-1,Feriados!$A$2:$A$2000)</f>
        <v>198</v>
      </c>
      <c r="D56" s="129">
        <v>8.4641999999999999</v>
      </c>
      <c r="E56" s="137">
        <f t="shared" si="10"/>
        <v>2.4499999999999744E-2</v>
      </c>
      <c r="F56" s="138">
        <f t="shared" si="11"/>
        <v>938.15577800000005</v>
      </c>
      <c r="G56" s="137">
        <f t="shared" si="12"/>
        <v>93815.58</v>
      </c>
      <c r="H56" s="137">
        <f t="shared" si="13"/>
        <v>1.4402667233248678E-2</v>
      </c>
      <c r="I56" s="139">
        <f t="shared" si="14"/>
        <v>1.0009671919733627</v>
      </c>
      <c r="J56" s="134">
        <f t="shared" si="4"/>
        <v>44743</v>
      </c>
      <c r="K56" s="130">
        <v>8.4649999999999999</v>
      </c>
      <c r="L56" s="137">
        <f t="shared" si="5"/>
        <v>1.5000000000000568E-2</v>
      </c>
      <c r="M56" s="137">
        <f t="shared" si="1"/>
        <v>93815.03</v>
      </c>
      <c r="N56" s="127">
        <v>5.15</v>
      </c>
      <c r="O56" s="140">
        <f t="shared" si="15"/>
        <v>1.3099999999976717</v>
      </c>
      <c r="P56" s="137">
        <f t="shared" si="6"/>
        <v>93815.03</v>
      </c>
      <c r="Q56" s="137">
        <f t="shared" si="16"/>
        <v>2.1323091426062035E-2</v>
      </c>
      <c r="R56" s="139">
        <f t="shared" si="17"/>
        <v>1.0003965755662534</v>
      </c>
      <c r="S56" s="169">
        <f t="shared" si="2"/>
        <v>-7.9999999999991189E-4</v>
      </c>
      <c r="T56" s="157">
        <f t="shared" si="7"/>
        <v>9.4999999999991758E-3</v>
      </c>
      <c r="U56" s="137">
        <f t="shared" si="8"/>
        <v>93815.58</v>
      </c>
      <c r="V56" s="137">
        <f t="shared" si="9"/>
        <v>93814.27</v>
      </c>
      <c r="W56" s="137">
        <f t="shared" si="18"/>
        <v>1.3006109566671142E-2</v>
      </c>
      <c r="X56" s="139">
        <f t="shared" si="19"/>
        <v>1.0104013517391706</v>
      </c>
      <c r="AA56" s="129">
        <v>8.4641999999999999</v>
      </c>
      <c r="AB56" s="130">
        <v>8.4649999999999999</v>
      </c>
      <c r="AC56" s="127">
        <v>5.15</v>
      </c>
    </row>
    <row r="57" spans="1:29" x14ac:dyDescent="0.3">
      <c r="A57" s="134">
        <v>44456</v>
      </c>
      <c r="B57" s="136">
        <v>44743</v>
      </c>
      <c r="C57" s="135">
        <f>NETWORKDAYS(A57,B57-1,Feriados!$A$2:$A$2000)</f>
        <v>197</v>
      </c>
      <c r="D57" s="129">
        <v>8.4888999999999992</v>
      </c>
      <c r="E57" s="137">
        <f t="shared" si="10"/>
        <v>2.4699999999999278E-2</v>
      </c>
      <c r="F57" s="138">
        <f t="shared" si="11"/>
        <v>938.29127400000004</v>
      </c>
      <c r="G57" s="137">
        <f t="shared" si="12"/>
        <v>93829.13</v>
      </c>
      <c r="H57" s="137">
        <f t="shared" si="13"/>
        <v>1.4443230005078966E-2</v>
      </c>
      <c r="I57" s="139">
        <f t="shared" si="14"/>
        <v>1.0011117639671747</v>
      </c>
      <c r="J57" s="134">
        <f t="shared" si="4"/>
        <v>44743</v>
      </c>
      <c r="K57" s="130">
        <v>8.49</v>
      </c>
      <c r="L57" s="137">
        <f t="shared" si="5"/>
        <v>2.5000000000000355E-2</v>
      </c>
      <c r="M57" s="137">
        <f t="shared" si="1"/>
        <v>93828.38</v>
      </c>
      <c r="N57" s="127">
        <v>5.15</v>
      </c>
      <c r="O57" s="140">
        <f t="shared" si="15"/>
        <v>-5.3499999999912689</v>
      </c>
      <c r="P57" s="137">
        <f t="shared" si="6"/>
        <v>93828.38</v>
      </c>
      <c r="Q57" s="137">
        <f t="shared" si="16"/>
        <v>1.4230129223435917E-2</v>
      </c>
      <c r="R57" s="139">
        <f t="shared" si="17"/>
        <v>1.0005389332917034</v>
      </c>
      <c r="S57" s="169">
        <f t="shared" si="2"/>
        <v>-1.1000000000009891E-3</v>
      </c>
      <c r="T57" s="157">
        <f t="shared" si="7"/>
        <v>-3.0000000000107718E-4</v>
      </c>
      <c r="U57" s="137">
        <f t="shared" si="8"/>
        <v>93829.13</v>
      </c>
      <c r="V57" s="137">
        <f t="shared" si="9"/>
        <v>93834.48</v>
      </c>
      <c r="W57" s="137">
        <f t="shared" si="18"/>
        <v>2.0145907534763197E-2</v>
      </c>
      <c r="X57" s="139">
        <f t="shared" si="19"/>
        <v>1.0106049062612219</v>
      </c>
      <c r="AA57" s="129">
        <v>8.4888999999999992</v>
      </c>
      <c r="AB57" s="130">
        <v>8.49</v>
      </c>
      <c r="AC57" s="127">
        <v>5.15</v>
      </c>
    </row>
    <row r="58" spans="1:29" x14ac:dyDescent="0.3">
      <c r="A58" s="134">
        <v>44459</v>
      </c>
      <c r="B58" s="136">
        <v>44743</v>
      </c>
      <c r="C58" s="135">
        <f>NETWORKDAYS(A58,B58-1,Feriados!$A$2:$A$2000)</f>
        <v>196</v>
      </c>
      <c r="D58" s="129">
        <v>8.4679000000000002</v>
      </c>
      <c r="E58" s="137">
        <f t="shared" si="10"/>
        <v>-2.0999999999999019E-2</v>
      </c>
      <c r="F58" s="138">
        <f t="shared" si="11"/>
        <v>938.73602800000003</v>
      </c>
      <c r="G58" s="137">
        <f t="shared" si="12"/>
        <v>93873.600000000006</v>
      </c>
      <c r="H58" s="137">
        <f t="shared" si="13"/>
        <v>4.7394663043354157E-2</v>
      </c>
      <c r="I58" s="139">
        <f t="shared" si="14"/>
        <v>1.0015862375143942</v>
      </c>
      <c r="J58" s="134">
        <f t="shared" si="4"/>
        <v>44743</v>
      </c>
      <c r="K58" s="130">
        <v>8.48</v>
      </c>
      <c r="L58" s="137">
        <f t="shared" si="5"/>
        <v>-9.9999999999997868E-3</v>
      </c>
      <c r="M58" s="137">
        <f t="shared" si="1"/>
        <v>93865.46</v>
      </c>
      <c r="N58" s="127">
        <v>5.15</v>
      </c>
      <c r="O58" s="140">
        <f t="shared" si="15"/>
        <v>18.380000000004657</v>
      </c>
      <c r="P58" s="137">
        <f t="shared" si="6"/>
        <v>93865.46</v>
      </c>
      <c r="Q58" s="137">
        <f t="shared" si="16"/>
        <v>3.9518960041728945E-2</v>
      </c>
      <c r="R58" s="139">
        <f t="shared" si="17"/>
        <v>1.000934335872953</v>
      </c>
      <c r="S58" s="169">
        <f t="shared" si="2"/>
        <v>-1.2100000000000222E-2</v>
      </c>
      <c r="T58" s="157">
        <f t="shared" si="7"/>
        <v>-1.0999999999999233E-2</v>
      </c>
      <c r="U58" s="137">
        <f t="shared" si="8"/>
        <v>93873.600000000006</v>
      </c>
      <c r="V58" s="137">
        <f t="shared" si="9"/>
        <v>93855.22</v>
      </c>
      <c r="W58" s="137">
        <f t="shared" si="18"/>
        <v>2.7805863701391154E-2</v>
      </c>
      <c r="X58" s="139">
        <f t="shared" si="19"/>
        <v>1.0108859136840165</v>
      </c>
      <c r="AA58" s="129">
        <v>8.4679000000000002</v>
      </c>
      <c r="AB58" s="130">
        <v>8.48</v>
      </c>
      <c r="AC58" s="127">
        <v>5.15</v>
      </c>
    </row>
    <row r="59" spans="1:29" x14ac:dyDescent="0.3">
      <c r="A59" s="134">
        <v>44460</v>
      </c>
      <c r="B59" s="134">
        <v>44743</v>
      </c>
      <c r="C59" s="135">
        <f>NETWORKDAYS(A59,B59-1,Feriados!$A$2:$A$2000)</f>
        <v>195</v>
      </c>
      <c r="D59" s="128">
        <v>8.3774999999999995</v>
      </c>
      <c r="E59" s="137">
        <f t="shared" si="10"/>
        <v>-9.0400000000000702E-2</v>
      </c>
      <c r="F59" s="138">
        <f t="shared" si="11"/>
        <v>939.64491799999996</v>
      </c>
      <c r="G59" s="137">
        <f t="shared" si="12"/>
        <v>93964.49</v>
      </c>
      <c r="H59" s="137">
        <f t="shared" si="13"/>
        <v>9.6821683625636368E-2</v>
      </c>
      <c r="I59" s="139">
        <f t="shared" si="14"/>
        <v>1.0025559901725183</v>
      </c>
      <c r="J59" s="134">
        <f t="shared" si="4"/>
        <v>44743</v>
      </c>
      <c r="K59" s="130">
        <v>8.39</v>
      </c>
      <c r="L59" s="137">
        <f t="shared" si="5"/>
        <v>-8.9999999999999858E-2</v>
      </c>
      <c r="M59" s="137">
        <f t="shared" si="1"/>
        <v>93956.11</v>
      </c>
      <c r="N59" s="127">
        <v>5.15</v>
      </c>
      <c r="O59" s="140">
        <f t="shared" si="15"/>
        <v>71.940000000002328</v>
      </c>
      <c r="P59" s="137">
        <f t="shared" si="6"/>
        <v>93956.11</v>
      </c>
      <c r="Q59" s="137">
        <f t="shared" si="16"/>
        <v>9.6574394883908177E-2</v>
      </c>
      <c r="R59" s="139">
        <f t="shared" si="17"/>
        <v>1.0019009821510076</v>
      </c>
      <c r="S59" s="169">
        <f t="shared" si="2"/>
        <v>-1.2500000000001066E-2</v>
      </c>
      <c r="T59" s="157">
        <f t="shared" si="7"/>
        <v>-4.0000000000084412E-4</v>
      </c>
      <c r="U59" s="137">
        <f t="shared" si="8"/>
        <v>93964.49</v>
      </c>
      <c r="V59" s="137">
        <f t="shared" si="9"/>
        <v>93892.55</v>
      </c>
      <c r="W59" s="137">
        <f t="shared" si="18"/>
        <v>2.0186719162795796E-2</v>
      </c>
      <c r="X59" s="139">
        <f t="shared" si="19"/>
        <v>1.0110899783844682</v>
      </c>
      <c r="AA59" s="128">
        <v>8.3774999999999995</v>
      </c>
      <c r="AB59" s="130">
        <v>8.39</v>
      </c>
      <c r="AC59" s="127">
        <v>5.15</v>
      </c>
    </row>
    <row r="60" spans="1:29" x14ac:dyDescent="0.3">
      <c r="A60" s="134">
        <v>44461</v>
      </c>
      <c r="B60" s="134">
        <v>44743</v>
      </c>
      <c r="C60" s="135">
        <f>NETWORKDAYS(A60,B60-1,Feriados!$A$2:$A$2000)</f>
        <v>194</v>
      </c>
      <c r="D60" s="128">
        <v>8.3650000000000002</v>
      </c>
      <c r="E60" s="137">
        <f t="shared" si="10"/>
        <v>-1.2499999999999289E-2</v>
      </c>
      <c r="F60" s="138">
        <f t="shared" si="11"/>
        <v>940.028413</v>
      </c>
      <c r="G60" s="137">
        <f t="shared" si="12"/>
        <v>94002.84</v>
      </c>
      <c r="H60" s="137">
        <f t="shared" si="13"/>
        <v>4.0813290212060593E-2</v>
      </c>
      <c r="I60" s="139">
        <f t="shared" si="14"/>
        <v>1.0029651662583259</v>
      </c>
      <c r="J60" s="134">
        <f t="shared" si="4"/>
        <v>44743</v>
      </c>
      <c r="K60" s="130">
        <v>8.3800000000000008</v>
      </c>
      <c r="L60" s="137">
        <f t="shared" si="5"/>
        <v>-9.9999999999997868E-3</v>
      </c>
      <c r="M60" s="137">
        <f t="shared" si="1"/>
        <v>93992.83</v>
      </c>
      <c r="N60" s="127">
        <v>5.15</v>
      </c>
      <c r="O60" s="140">
        <f t="shared" si="15"/>
        <v>17.990000000005239</v>
      </c>
      <c r="P60" s="137">
        <f t="shared" si="6"/>
        <v>93992.83</v>
      </c>
      <c r="Q60" s="137">
        <f t="shared" si="16"/>
        <v>3.9082077791419145E-2</v>
      </c>
      <c r="R60" s="139">
        <f t="shared" si="17"/>
        <v>1.0022925458722449</v>
      </c>
      <c r="S60" s="169">
        <f t="shared" si="2"/>
        <v>-1.5000000000000568E-2</v>
      </c>
      <c r="T60" s="157">
        <f t="shared" si="7"/>
        <v>-2.4999999999995026E-3</v>
      </c>
      <c r="U60" s="137">
        <f t="shared" si="8"/>
        <v>94002.84</v>
      </c>
      <c r="V60" s="137">
        <f t="shared" si="9"/>
        <v>93984.849999999991</v>
      </c>
      <c r="W60" s="137">
        <f t="shared" si="18"/>
        <v>2.166775981009561E-2</v>
      </c>
      <c r="X60" s="139">
        <f t="shared" si="19"/>
        <v>1.0113090589324485</v>
      </c>
      <c r="AA60" s="128">
        <v>8.3650000000000002</v>
      </c>
      <c r="AB60" s="130">
        <v>8.3800000000000008</v>
      </c>
      <c r="AC60" s="127">
        <v>5.15</v>
      </c>
    </row>
    <row r="61" spans="1:29" x14ac:dyDescent="0.3">
      <c r="A61" s="134">
        <v>44462</v>
      </c>
      <c r="B61" s="134">
        <v>44743</v>
      </c>
      <c r="C61" s="135">
        <f>NETWORKDAYS(A61,B61-1,Feriados!$A$2:$A$2000)</f>
        <v>193</v>
      </c>
      <c r="D61" s="128">
        <v>8.3945000000000007</v>
      </c>
      <c r="E61" s="137">
        <f t="shared" si="10"/>
        <v>2.9500000000000526E-2</v>
      </c>
      <c r="F61" s="138">
        <f t="shared" si="11"/>
        <v>940.13212799999997</v>
      </c>
      <c r="G61" s="137">
        <f t="shared" si="12"/>
        <v>94013.21</v>
      </c>
      <c r="H61" s="137">
        <f t="shared" si="13"/>
        <v>1.1031581599030282E-2</v>
      </c>
      <c r="I61" s="139">
        <f t="shared" si="14"/>
        <v>1.0030758091790515</v>
      </c>
      <c r="J61" s="134">
        <f t="shared" si="4"/>
        <v>44743</v>
      </c>
      <c r="K61" s="130">
        <v>8.42</v>
      </c>
      <c r="L61" s="137">
        <f t="shared" si="5"/>
        <v>3.9999999999999147E-2</v>
      </c>
      <c r="M61" s="137">
        <f t="shared" si="1"/>
        <v>93996.28</v>
      </c>
      <c r="N61" s="127">
        <v>5.15</v>
      </c>
      <c r="O61" s="140">
        <f t="shared" si="15"/>
        <v>-15.279999999998836</v>
      </c>
      <c r="P61" s="137">
        <f t="shared" si="6"/>
        <v>93996.28</v>
      </c>
      <c r="Q61" s="137">
        <f t="shared" si="16"/>
        <v>3.670492738638842E-3</v>
      </c>
      <c r="R61" s="139">
        <f t="shared" si="17"/>
        <v>1.002329334947361</v>
      </c>
      <c r="S61" s="169">
        <f t="shared" si="2"/>
        <v>-2.549999999999919E-2</v>
      </c>
      <c r="T61" s="157">
        <f t="shared" si="7"/>
        <v>-1.0499999999998622E-2</v>
      </c>
      <c r="U61" s="137">
        <f t="shared" si="8"/>
        <v>94013.21</v>
      </c>
      <c r="V61" s="137">
        <f t="shared" si="9"/>
        <v>94028.49</v>
      </c>
      <c r="W61" s="137">
        <f t="shared" si="18"/>
        <v>2.7286409644644571E-2</v>
      </c>
      <c r="X61" s="139">
        <f t="shared" si="19"/>
        <v>1.0115850088650422</v>
      </c>
      <c r="AA61" s="128">
        <v>8.3945000000000007</v>
      </c>
      <c r="AB61" s="130">
        <v>8.42</v>
      </c>
      <c r="AC61" s="127">
        <v>5.15</v>
      </c>
    </row>
    <row r="62" spans="1:29" x14ac:dyDescent="0.3">
      <c r="A62" s="134">
        <v>44463</v>
      </c>
      <c r="B62" s="134">
        <v>44743</v>
      </c>
      <c r="C62" s="135">
        <f>NETWORKDAYS(A62,B62-1,Feriados!$A$2:$A$2000)</f>
        <v>192</v>
      </c>
      <c r="D62" s="128">
        <v>8.4506999999999994</v>
      </c>
      <c r="E62" s="137">
        <f t="shared" si="10"/>
        <v>5.6199999999998695E-2</v>
      </c>
      <c r="F62" s="138">
        <f t="shared" si="11"/>
        <v>940.06156599999997</v>
      </c>
      <c r="G62" s="137">
        <f t="shared" si="12"/>
        <v>94006.16</v>
      </c>
      <c r="H62" s="137">
        <f t="shared" si="13"/>
        <v>-7.4989461587349204E-3</v>
      </c>
      <c r="I62" s="139">
        <f t="shared" si="14"/>
        <v>1.0030005890641898</v>
      </c>
      <c r="J62" s="134">
        <f t="shared" si="4"/>
        <v>44743</v>
      </c>
      <c r="K62" s="130">
        <v>8.4749999999999996</v>
      </c>
      <c r="L62" s="137">
        <f t="shared" si="5"/>
        <v>5.4999999999999716E-2</v>
      </c>
      <c r="M62" s="137">
        <f t="shared" si="1"/>
        <v>93990.11</v>
      </c>
      <c r="N62" s="127">
        <v>6.15</v>
      </c>
      <c r="O62" s="140">
        <f t="shared" si="15"/>
        <v>-24.899999999994179</v>
      </c>
      <c r="P62" s="137">
        <f t="shared" si="6"/>
        <v>93990.11</v>
      </c>
      <c r="Q62" s="137">
        <f t="shared" si="16"/>
        <v>-6.5640895575813651E-3</v>
      </c>
      <c r="R62" s="139">
        <f t="shared" si="17"/>
        <v>1.0022635411521532</v>
      </c>
      <c r="S62" s="169">
        <f t="shared" si="2"/>
        <v>-2.430000000000021E-2</v>
      </c>
      <c r="T62" s="157">
        <f t="shared" si="7"/>
        <v>1.1999999999989797E-3</v>
      </c>
      <c r="U62" s="137">
        <f t="shared" si="8"/>
        <v>94006.16</v>
      </c>
      <c r="V62" s="137">
        <f t="shared" si="9"/>
        <v>94031.06</v>
      </c>
      <c r="W62" s="137">
        <f t="shared" si="18"/>
        <v>1.8986693465739002E-2</v>
      </c>
      <c r="X62" s="139">
        <f t="shared" si="19"/>
        <v>1.0117770754098208</v>
      </c>
      <c r="AA62" s="128">
        <v>8.4506999999999994</v>
      </c>
      <c r="AB62" s="130">
        <v>8.4749999999999996</v>
      </c>
      <c r="AC62" s="127">
        <v>6.15</v>
      </c>
    </row>
    <row r="63" spans="1:29" x14ac:dyDescent="0.3">
      <c r="A63" s="134">
        <v>44466</v>
      </c>
      <c r="B63" s="134">
        <v>44743</v>
      </c>
      <c r="C63" s="135">
        <f>NETWORKDAYS(A63,B63-1,Feriados!$A$2:$A$2000)</f>
        <v>191</v>
      </c>
      <c r="D63" s="128">
        <v>8.5009999999999994</v>
      </c>
      <c r="E63" s="137">
        <f t="shared" si="10"/>
        <v>5.0300000000000011E-2</v>
      </c>
      <c r="F63" s="138">
        <f t="shared" si="11"/>
        <v>940.03381000000002</v>
      </c>
      <c r="G63" s="137">
        <f t="shared" si="12"/>
        <v>94003.38</v>
      </c>
      <c r="H63" s="137">
        <f t="shared" si="13"/>
        <v>-2.9572530140575815E-3</v>
      </c>
      <c r="I63" s="139">
        <f t="shared" si="14"/>
        <v>1.0029709277990386</v>
      </c>
      <c r="J63" s="134">
        <f t="shared" si="4"/>
        <v>44743</v>
      </c>
      <c r="K63" s="130">
        <v>8.5549999999999997</v>
      </c>
      <c r="L63" s="137">
        <f t="shared" si="5"/>
        <v>8.0000000000000071E-2</v>
      </c>
      <c r="M63" s="137">
        <f t="shared" si="1"/>
        <v>93967.94</v>
      </c>
      <c r="N63" s="127">
        <v>6.15</v>
      </c>
      <c r="O63" s="140">
        <f t="shared" si="15"/>
        <v>-44.429999999993015</v>
      </c>
      <c r="P63" s="137">
        <f t="shared" si="6"/>
        <v>93967.94</v>
      </c>
      <c r="Q63" s="137">
        <f t="shared" si="16"/>
        <v>-2.3587588098361589E-2</v>
      </c>
      <c r="R63" s="139">
        <f t="shared" si="17"/>
        <v>1.0020271313564062</v>
      </c>
      <c r="S63" s="169">
        <f t="shared" si="2"/>
        <v>-5.400000000000027E-2</v>
      </c>
      <c r="T63" s="157">
        <f t="shared" si="7"/>
        <v>-2.970000000000006E-2</v>
      </c>
      <c r="U63" s="137">
        <f t="shared" si="8"/>
        <v>94003.38</v>
      </c>
      <c r="V63" s="137">
        <f t="shared" si="9"/>
        <v>94047.81</v>
      </c>
      <c r="W63" s="137">
        <f t="shared" si="18"/>
        <v>4.4305607207006936E-2</v>
      </c>
      <c r="X63" s="139">
        <f t="shared" si="19"/>
        <v>1.0122253493866624</v>
      </c>
      <c r="AA63" s="128">
        <v>8.5009999999999994</v>
      </c>
      <c r="AB63" s="130">
        <v>8.5549999999999997</v>
      </c>
      <c r="AC63" s="127">
        <v>6.15</v>
      </c>
    </row>
    <row r="64" spans="1:29" x14ac:dyDescent="0.3">
      <c r="A64" s="134">
        <v>44467</v>
      </c>
      <c r="B64" s="134">
        <v>44743</v>
      </c>
      <c r="C64" s="135">
        <f>NETWORKDAYS(A64,B64-1,Feriados!$A$2:$A$2000)</f>
        <v>190</v>
      </c>
      <c r="D64" s="128">
        <v>8.5778999999999996</v>
      </c>
      <c r="E64" s="137">
        <f t="shared" si="10"/>
        <v>7.690000000000019E-2</v>
      </c>
      <c r="F64" s="138">
        <f t="shared" si="11"/>
        <v>939.83603000000005</v>
      </c>
      <c r="G64" s="137">
        <f t="shared" si="12"/>
        <v>93983.6</v>
      </c>
      <c r="H64" s="137">
        <f t="shared" si="13"/>
        <v>-2.1041796582210726E-2</v>
      </c>
      <c r="I64" s="139">
        <f t="shared" si="14"/>
        <v>1.0027598846966324</v>
      </c>
      <c r="J64" s="134">
        <f t="shared" si="4"/>
        <v>44743</v>
      </c>
      <c r="K64" s="130">
        <v>8.6349999999999998</v>
      </c>
      <c r="L64" s="137">
        <f t="shared" si="5"/>
        <v>8.0000000000000071E-2</v>
      </c>
      <c r="M64" s="137">
        <f t="shared" si="1"/>
        <v>93946.36</v>
      </c>
      <c r="N64" s="127">
        <v>6.15</v>
      </c>
      <c r="O64" s="140">
        <f t="shared" si="15"/>
        <v>-43.839999999996508</v>
      </c>
      <c r="P64" s="137">
        <f t="shared" si="6"/>
        <v>93946.36</v>
      </c>
      <c r="Q64" s="137">
        <f t="shared" si="16"/>
        <v>-2.2965279434672414E-2</v>
      </c>
      <c r="R64" s="139">
        <f t="shared" si="17"/>
        <v>1.001797013025679</v>
      </c>
      <c r="S64" s="169">
        <f t="shared" si="2"/>
        <v>-5.7100000000000151E-2</v>
      </c>
      <c r="T64" s="157">
        <f t="shared" si="7"/>
        <v>-3.0999999999998806E-3</v>
      </c>
      <c r="U64" s="137">
        <f t="shared" si="8"/>
        <v>93983.6</v>
      </c>
      <c r="V64" s="137">
        <f t="shared" si="9"/>
        <v>94027.44</v>
      </c>
      <c r="W64" s="137">
        <f t="shared" si="18"/>
        <v>2.5594824356311996E-2</v>
      </c>
      <c r="X64" s="139">
        <f t="shared" si="19"/>
        <v>1.012484426686928</v>
      </c>
      <c r="AA64" s="128">
        <v>8.5778999999999996</v>
      </c>
      <c r="AB64" s="130">
        <v>8.6349999999999998</v>
      </c>
      <c r="AC64" s="127">
        <v>6.15</v>
      </c>
    </row>
    <row r="65" spans="1:29" x14ac:dyDescent="0.3">
      <c r="A65" s="134">
        <v>44468</v>
      </c>
      <c r="B65" s="134">
        <v>44743</v>
      </c>
      <c r="C65" s="135">
        <f>NETWORKDAYS(A65,B65-1,Feriados!$A$2:$A$2000)</f>
        <v>189</v>
      </c>
      <c r="D65" s="128">
        <v>8.5418000000000003</v>
      </c>
      <c r="E65" s="137">
        <f t="shared" si="10"/>
        <v>-3.6099999999999355E-2</v>
      </c>
      <c r="F65" s="138">
        <f t="shared" si="11"/>
        <v>940.37751300000002</v>
      </c>
      <c r="G65" s="137">
        <f t="shared" si="12"/>
        <v>94037.75</v>
      </c>
      <c r="H65" s="137">
        <f t="shared" si="13"/>
        <v>5.7616435207830108E-2</v>
      </c>
      <c r="I65" s="139">
        <f t="shared" si="14"/>
        <v>1.0033376391958888</v>
      </c>
      <c r="J65" s="134">
        <f t="shared" si="4"/>
        <v>44743</v>
      </c>
      <c r="K65" s="130">
        <v>8.6050000000000004</v>
      </c>
      <c r="L65" s="137">
        <f t="shared" si="5"/>
        <v>-2.9999999999999361E-2</v>
      </c>
      <c r="M65" s="137">
        <f t="shared" si="1"/>
        <v>93996.71</v>
      </c>
      <c r="N65" s="127">
        <v>6.15</v>
      </c>
      <c r="O65" s="140">
        <f t="shared" si="15"/>
        <v>28.100000000005821</v>
      </c>
      <c r="P65" s="137">
        <f t="shared" si="6"/>
        <v>93996.71</v>
      </c>
      <c r="Q65" s="137">
        <f t="shared" si="16"/>
        <v>5.3594412811741599E-2</v>
      </c>
      <c r="R65" s="139">
        <f t="shared" si="17"/>
        <v>1.0023339202523758</v>
      </c>
      <c r="S65" s="169">
        <f t="shared" si="2"/>
        <v>-6.3200000000000145E-2</v>
      </c>
      <c r="T65" s="157">
        <f t="shared" si="7"/>
        <v>-6.0999999999999943E-3</v>
      </c>
      <c r="U65" s="137">
        <f t="shared" si="8"/>
        <v>94037.75</v>
      </c>
      <c r="V65" s="137">
        <f t="shared" si="9"/>
        <v>94009.65</v>
      </c>
      <c r="W65" s="137">
        <f t="shared" si="18"/>
        <v>2.7717601794341462E-2</v>
      </c>
      <c r="X65" s="139">
        <f t="shared" si="19"/>
        <v>1.0127650630885467</v>
      </c>
      <c r="AA65" s="128">
        <v>8.5418000000000003</v>
      </c>
      <c r="AB65" s="130">
        <v>8.6050000000000004</v>
      </c>
      <c r="AC65" s="127">
        <v>6.15</v>
      </c>
    </row>
    <row r="66" spans="1:29" x14ac:dyDescent="0.3">
      <c r="A66" s="134">
        <v>44469</v>
      </c>
      <c r="B66" s="134">
        <v>44743</v>
      </c>
      <c r="C66" s="135">
        <f>NETWORKDAYS(A66,B66-1,Feriados!$A$2:$A$2000)</f>
        <v>188</v>
      </c>
      <c r="D66" s="128">
        <v>8.5846</v>
      </c>
      <c r="E66" s="137">
        <f t="shared" ref="E66" si="20">+D66-D65</f>
        <v>4.2799999999999727E-2</v>
      </c>
      <c r="F66" s="138">
        <f t="shared" ref="F66" si="21">+TRUNC((1000/(1+D66/100)^(C66/252)),6)</f>
        <v>940.40679899999998</v>
      </c>
      <c r="G66" s="137">
        <f t="shared" si="12"/>
        <v>94040.68</v>
      </c>
      <c r="H66" s="137">
        <f t="shared" si="13"/>
        <v>3.115769996608897E-3</v>
      </c>
      <c r="I66" s="139">
        <f t="shared" si="14"/>
        <v>1.0033689008890156</v>
      </c>
      <c r="J66" s="134">
        <f t="shared" si="4"/>
        <v>44743</v>
      </c>
      <c r="K66" s="130">
        <v>8.6549999999999994</v>
      </c>
      <c r="L66" s="137">
        <f t="shared" ref="L66:L129" si="22">+K66-K65</f>
        <v>4.9999999999998934E-2</v>
      </c>
      <c r="M66" s="137">
        <f t="shared" ref="M66:M129" si="23">+ROUND((100000/(1+K66/100)^(C66/252)),2)</f>
        <v>93995.22</v>
      </c>
      <c r="N66" s="127">
        <v>6.15</v>
      </c>
      <c r="O66" s="140">
        <f t="shared" si="15"/>
        <v>-23.75</v>
      </c>
      <c r="P66" s="137">
        <f t="shared" si="6"/>
        <v>93995.22</v>
      </c>
      <c r="Q66" s="137">
        <f t="shared" ref="Q66:Q67" si="24">+(P66/P65-1)*100</f>
        <v>-1.5851618636486542E-3</v>
      </c>
      <c r="R66" s="139">
        <f t="shared" ref="R66:R67" si="25">+R65*(1+Q66/100)</f>
        <v>1.0023180316373255</v>
      </c>
      <c r="S66" s="169">
        <f t="shared" ref="S66:S129" si="26">+D66-K66</f>
        <v>-7.0399999999999352E-2</v>
      </c>
      <c r="T66" s="157">
        <f t="shared" si="7"/>
        <v>-7.199999999999207E-3</v>
      </c>
      <c r="U66" s="137">
        <f t="shared" si="8"/>
        <v>94040.68</v>
      </c>
      <c r="V66" s="137">
        <f t="shared" si="9"/>
        <v>94064.43</v>
      </c>
      <c r="W66" s="137">
        <f t="shared" ref="W66:W67" si="27">+(V66/U65-1)*100</f>
        <v>2.837158481565627E-2</v>
      </c>
      <c r="X66" s="139">
        <f t="shared" ref="X66:X67" si="28">+X65*(1+W66/100)</f>
        <v>1.0130524005874042</v>
      </c>
      <c r="AA66" s="128">
        <v>8.5846</v>
      </c>
      <c r="AB66" s="130">
        <v>8.6549999999999994</v>
      </c>
      <c r="AC66" s="127">
        <v>6.15</v>
      </c>
    </row>
    <row r="67" spans="1:29" x14ac:dyDescent="0.3">
      <c r="A67" s="134">
        <v>44470</v>
      </c>
      <c r="B67" s="134">
        <v>44743</v>
      </c>
      <c r="C67" s="135">
        <f>NETWORKDAYS(A67,B67-1,Feriados!$A$2:$A$2000)</f>
        <v>187</v>
      </c>
      <c r="D67" s="128">
        <v>8.4978999999999996</v>
      </c>
      <c r="E67" s="137">
        <f t="shared" ref="E67:E130" si="29">+D67-D66</f>
        <v>-8.6700000000000443E-2</v>
      </c>
      <c r="F67" s="138">
        <f t="shared" ref="F67:F130" si="30">+TRUNC((1000/(1+D67/100)^(C67/252)),6)</f>
        <v>941.27196100000003</v>
      </c>
      <c r="G67" s="137">
        <f t="shared" si="12"/>
        <v>94127.2</v>
      </c>
      <c r="H67" s="137">
        <f t="shared" si="13"/>
        <v>9.2002737538687818E-2</v>
      </c>
      <c r="I67" s="139">
        <f t="shared" si="14"/>
        <v>1.0042920277454455</v>
      </c>
      <c r="J67" s="134">
        <f t="shared" ref="J67:J130" si="31">+J66</f>
        <v>44743</v>
      </c>
      <c r="K67" s="130">
        <v>8.5850000000000009</v>
      </c>
      <c r="L67" s="137">
        <f t="shared" si="22"/>
        <v>-6.9999999999998508E-2</v>
      </c>
      <c r="M67" s="137">
        <f t="shared" si="23"/>
        <v>94071.16</v>
      </c>
      <c r="N67" s="127">
        <v>6.15</v>
      </c>
      <c r="O67" s="140">
        <f t="shared" si="15"/>
        <v>53.680000000007567</v>
      </c>
      <c r="P67" s="137">
        <f t="shared" ref="P67:P130" si="32">+ROUND(((1+N66/100)^(1/252))*P66,2)+O67</f>
        <v>94071.16</v>
      </c>
      <c r="Q67" s="137">
        <f t="shared" si="24"/>
        <v>8.0791342368269348E-2</v>
      </c>
      <c r="R67" s="139">
        <f t="shared" si="25"/>
        <v>1.0031278178298846</v>
      </c>
      <c r="S67" s="169">
        <f t="shared" si="26"/>
        <v>-8.7100000000001288E-2</v>
      </c>
      <c r="T67" s="157">
        <f t="shared" ref="T67:T130" si="33">+S67-S66</f>
        <v>-1.6700000000001936E-2</v>
      </c>
      <c r="U67" s="137">
        <f t="shared" ref="U67:U130" si="34">+G67</f>
        <v>94127.2</v>
      </c>
      <c r="V67" s="137">
        <f t="shared" ref="V67:V130" si="35">+U67-O67</f>
        <v>94073.51999999999</v>
      </c>
      <c r="W67" s="137">
        <f t="shared" si="27"/>
        <v>3.4921057567838254E-2</v>
      </c>
      <c r="X67" s="139">
        <f t="shared" si="28"/>
        <v>1.0134061691994056</v>
      </c>
      <c r="AA67" s="128">
        <v>8.4978999999999996</v>
      </c>
      <c r="AB67" s="130">
        <v>8.5850000000000009</v>
      </c>
      <c r="AC67" s="127">
        <v>6.15</v>
      </c>
    </row>
    <row r="68" spans="1:29" x14ac:dyDescent="0.3">
      <c r="A68" s="134">
        <v>44473</v>
      </c>
      <c r="B68" s="134">
        <v>44743</v>
      </c>
      <c r="C68" s="135">
        <f>NETWORKDAYS(A68,B68-1,Feriados!$A$2:$A$2000)</f>
        <v>186</v>
      </c>
      <c r="D68" s="128">
        <v>8.5595999999999997</v>
      </c>
      <c r="E68" s="137">
        <f t="shared" si="29"/>
        <v>6.1700000000000088E-2</v>
      </c>
      <c r="F68" s="138">
        <f t="shared" si="30"/>
        <v>941.18163800000002</v>
      </c>
      <c r="G68" s="137">
        <f t="shared" ref="G68:G131" si="36">ROUND(100*F68,2)</f>
        <v>94118.16</v>
      </c>
      <c r="H68" s="137">
        <f t="shared" ref="H68:H131" si="37">+(G68/G67-1)*100</f>
        <v>-9.6040251914342178E-3</v>
      </c>
      <c r="I68" s="139">
        <f t="shared" ref="I68:I131" si="38">+I67*(1+H68/100)</f>
        <v>1.0041955752861051</v>
      </c>
      <c r="J68" s="134">
        <f t="shared" si="31"/>
        <v>44743</v>
      </c>
      <c r="K68" s="130">
        <v>8.66</v>
      </c>
      <c r="L68" s="137">
        <f t="shared" si="22"/>
        <v>7.4999999999999289E-2</v>
      </c>
      <c r="M68" s="137">
        <f t="shared" si="23"/>
        <v>94053.97</v>
      </c>
      <c r="N68" s="127">
        <v>6.15</v>
      </c>
      <c r="O68" s="140">
        <f t="shared" ref="O68:O131" si="39">M68-(ROUND(((1+N67/100)^(1/252))*M67,2))</f>
        <v>-39.470000000001164</v>
      </c>
      <c r="P68" s="137">
        <f t="shared" si="32"/>
        <v>94053.97</v>
      </c>
      <c r="Q68" s="137">
        <f t="shared" ref="Q68:Q75" si="40">+(P68/P67-1)*100</f>
        <v>-1.8273400689439168E-2</v>
      </c>
      <c r="R68" s="139">
        <f t="shared" ref="R68:R75" si="41">+R67*(1+Q68/100)</f>
        <v>1.0029445122643053</v>
      </c>
      <c r="S68" s="169">
        <f t="shared" si="26"/>
        <v>-0.10040000000000049</v>
      </c>
      <c r="T68" s="157">
        <f t="shared" si="33"/>
        <v>-1.3299999999999201E-2</v>
      </c>
      <c r="U68" s="137">
        <f t="shared" si="34"/>
        <v>94118.16</v>
      </c>
      <c r="V68" s="137">
        <f t="shared" si="35"/>
        <v>94157.63</v>
      </c>
      <c r="W68" s="137">
        <f t="shared" ref="W68:W75" si="42">+(V68/U67-1)*100</f>
        <v>3.2328593647745762E-2</v>
      </c>
      <c r="X68" s="139">
        <f t="shared" ref="X68:X75" si="43">+X67*(1+W68/100)</f>
        <v>1.0137337891618472</v>
      </c>
      <c r="AA68" s="128">
        <v>8.5595999999999997</v>
      </c>
      <c r="AB68" s="130">
        <v>8.66</v>
      </c>
      <c r="AC68" s="127">
        <v>6.15</v>
      </c>
    </row>
    <row r="69" spans="1:29" x14ac:dyDescent="0.3">
      <c r="A69" s="134">
        <v>44474</v>
      </c>
      <c r="B69" s="134">
        <v>44743</v>
      </c>
      <c r="C69" s="135">
        <f>NETWORKDAYS(A69,B69-1,Feriados!$A$2:$A$2000)</f>
        <v>185</v>
      </c>
      <c r="D69" s="128">
        <v>8.6095000000000006</v>
      </c>
      <c r="E69" s="137">
        <f t="shared" si="29"/>
        <v>4.9900000000000944E-2</v>
      </c>
      <c r="F69" s="138">
        <f t="shared" si="30"/>
        <v>941.17085399999996</v>
      </c>
      <c r="G69" s="137">
        <f t="shared" si="36"/>
        <v>94117.09</v>
      </c>
      <c r="H69" s="137">
        <f t="shared" si="37"/>
        <v>-1.1368688040747088E-3</v>
      </c>
      <c r="I69" s="139">
        <f t="shared" si="38"/>
        <v>1.0041841588998779</v>
      </c>
      <c r="J69" s="134">
        <f t="shared" si="31"/>
        <v>44743</v>
      </c>
      <c r="K69" s="130">
        <v>8.6950000000000003</v>
      </c>
      <c r="L69" s="137">
        <f t="shared" si="22"/>
        <v>3.5000000000000142E-2</v>
      </c>
      <c r="M69" s="137">
        <f t="shared" si="23"/>
        <v>94062.73</v>
      </c>
      <c r="N69" s="127">
        <v>6.15</v>
      </c>
      <c r="O69" s="140">
        <f t="shared" si="39"/>
        <v>-13.520000000004075</v>
      </c>
      <c r="P69" s="137">
        <f t="shared" si="32"/>
        <v>94062.73</v>
      </c>
      <c r="Q69" s="137">
        <f t="shared" si="40"/>
        <v>9.3138014269911196E-3</v>
      </c>
      <c r="R69" s="139">
        <f t="shared" si="41"/>
        <v>1.0030379245246004</v>
      </c>
      <c r="S69" s="169">
        <f t="shared" si="26"/>
        <v>-8.5499999999999687E-2</v>
      </c>
      <c r="T69" s="157">
        <f t="shared" si="33"/>
        <v>1.4900000000000801E-2</v>
      </c>
      <c r="U69" s="137">
        <f t="shared" si="34"/>
        <v>94117.09</v>
      </c>
      <c r="V69" s="137">
        <f t="shared" si="35"/>
        <v>94130.61</v>
      </c>
      <c r="W69" s="137">
        <f t="shared" si="42"/>
        <v>1.3228052907110488E-2</v>
      </c>
      <c r="X69" s="139">
        <f t="shared" si="43"/>
        <v>1.0138678864038149</v>
      </c>
      <c r="AA69" s="128">
        <v>8.6095000000000006</v>
      </c>
      <c r="AB69" s="130">
        <v>8.6950000000000003</v>
      </c>
      <c r="AC69" s="127">
        <v>6.15</v>
      </c>
    </row>
    <row r="70" spans="1:29" x14ac:dyDescent="0.3">
      <c r="A70" s="134">
        <v>44475</v>
      </c>
      <c r="B70" s="134">
        <v>44743</v>
      </c>
      <c r="C70" s="135">
        <f>NETWORKDAYS(A70,B70-1,Feriados!$A$2:$A$2000)</f>
        <v>184</v>
      </c>
      <c r="D70" s="128">
        <v>8.4892000000000003</v>
      </c>
      <c r="E70" s="137">
        <f t="shared" si="29"/>
        <v>-0.1203000000000003</v>
      </c>
      <c r="F70" s="138">
        <f t="shared" si="30"/>
        <v>942.24150999999995</v>
      </c>
      <c r="G70" s="137">
        <f t="shared" si="36"/>
        <v>94224.15</v>
      </c>
      <c r="H70" s="137">
        <f t="shared" si="37"/>
        <v>0.1137519232691897</v>
      </c>
      <c r="I70" s="139">
        <f t="shared" si="38"/>
        <v>1.0053264376937909</v>
      </c>
      <c r="J70" s="134">
        <f t="shared" si="31"/>
        <v>44743</v>
      </c>
      <c r="K70" s="130">
        <v>8.5500000000000007</v>
      </c>
      <c r="L70" s="137">
        <f t="shared" si="22"/>
        <v>-0.14499999999999957</v>
      </c>
      <c r="M70" s="137">
        <f t="shared" si="23"/>
        <v>94185.61</v>
      </c>
      <c r="N70" s="127">
        <v>6.15</v>
      </c>
      <c r="O70" s="140">
        <f t="shared" si="39"/>
        <v>100.60000000000582</v>
      </c>
      <c r="P70" s="137">
        <f t="shared" si="32"/>
        <v>94185.61</v>
      </c>
      <c r="Q70" s="137">
        <f t="shared" si="40"/>
        <v>0.13063622542106579</v>
      </c>
      <c r="R70" s="139">
        <f t="shared" si="41"/>
        <v>1.0043482554087411</v>
      </c>
      <c r="S70" s="169">
        <f t="shared" si="26"/>
        <v>-6.0800000000000409E-2</v>
      </c>
      <c r="T70" s="157">
        <f t="shared" si="33"/>
        <v>2.4699999999999278E-2</v>
      </c>
      <c r="U70" s="137">
        <f t="shared" si="34"/>
        <v>94224.15</v>
      </c>
      <c r="V70" s="137">
        <f t="shared" si="35"/>
        <v>94123.549999999988</v>
      </c>
      <c r="W70" s="137">
        <f t="shared" si="42"/>
        <v>6.8637906250446079E-3</v>
      </c>
      <c r="X70" s="139">
        <f t="shared" si="43"/>
        <v>1.0139374761727522</v>
      </c>
      <c r="AA70" s="128">
        <v>8.4892000000000003</v>
      </c>
      <c r="AB70" s="130">
        <v>8.5500000000000007</v>
      </c>
      <c r="AC70" s="127">
        <v>6.15</v>
      </c>
    </row>
    <row r="71" spans="1:29" x14ac:dyDescent="0.3">
      <c r="A71" s="134">
        <v>44476</v>
      </c>
      <c r="B71" s="134">
        <v>44743</v>
      </c>
      <c r="C71" s="135">
        <f>NETWORKDAYS(A71,B71-1,Feriados!$A$2:$A$2000)</f>
        <v>183</v>
      </c>
      <c r="D71" s="128">
        <v>8.6303000000000001</v>
      </c>
      <c r="E71" s="137">
        <f t="shared" si="29"/>
        <v>0.14109999999999978</v>
      </c>
      <c r="F71" s="138">
        <f t="shared" si="30"/>
        <v>941.65700500000003</v>
      </c>
      <c r="G71" s="137">
        <f t="shared" si="36"/>
        <v>94165.7</v>
      </c>
      <c r="H71" s="137">
        <f t="shared" si="37"/>
        <v>-6.2032928925326303E-2</v>
      </c>
      <c r="I71" s="139">
        <f t="shared" si="38"/>
        <v>1.0047028042592288</v>
      </c>
      <c r="J71" s="134">
        <f t="shared" si="31"/>
        <v>44743</v>
      </c>
      <c r="K71" s="130">
        <v>8.6449999999999996</v>
      </c>
      <c r="L71" s="137">
        <f t="shared" si="22"/>
        <v>9.4999999999998863E-2</v>
      </c>
      <c r="M71" s="137">
        <f t="shared" si="23"/>
        <v>94156.45</v>
      </c>
      <c r="N71" s="127">
        <v>6.15</v>
      </c>
      <c r="O71" s="140">
        <f t="shared" si="39"/>
        <v>-51.470000000001164</v>
      </c>
      <c r="P71" s="137">
        <f t="shared" si="32"/>
        <v>94156.45</v>
      </c>
      <c r="Q71" s="137">
        <f t="shared" si="40"/>
        <v>-3.0960143486891134E-2</v>
      </c>
      <c r="R71" s="139">
        <f t="shared" si="41"/>
        <v>1.0040373077477585</v>
      </c>
      <c r="S71" s="169">
        <f t="shared" si="26"/>
        <v>-1.4699999999999491E-2</v>
      </c>
      <c r="T71" s="157">
        <f t="shared" si="33"/>
        <v>4.6100000000000918E-2</v>
      </c>
      <c r="U71" s="137">
        <f t="shared" si="34"/>
        <v>94165.7</v>
      </c>
      <c r="V71" s="137">
        <f t="shared" si="35"/>
        <v>94217.17</v>
      </c>
      <c r="W71" s="137">
        <f t="shared" si="42"/>
        <v>-7.4078673036548359E-3</v>
      </c>
      <c r="X71" s="139">
        <f t="shared" si="43"/>
        <v>1.0138623650299754</v>
      </c>
      <c r="AA71" s="128">
        <v>8.6303000000000001</v>
      </c>
      <c r="AB71" s="130">
        <v>8.6449999999999996</v>
      </c>
      <c r="AC71" s="127">
        <v>6.15</v>
      </c>
    </row>
    <row r="72" spans="1:29" x14ac:dyDescent="0.3">
      <c r="A72" s="134">
        <v>44477</v>
      </c>
      <c r="B72" s="134">
        <v>44743</v>
      </c>
      <c r="C72" s="135">
        <f>NETWORKDAYS(A72,B72-1,Feriados!$A$2:$A$2000)</f>
        <v>182</v>
      </c>
      <c r="D72" s="128">
        <v>8.4937000000000005</v>
      </c>
      <c r="E72" s="137">
        <f t="shared" si="29"/>
        <v>-0.13659999999999961</v>
      </c>
      <c r="F72" s="138">
        <f t="shared" si="30"/>
        <v>942.82278299999996</v>
      </c>
      <c r="G72" s="137">
        <f t="shared" si="36"/>
        <v>94282.28</v>
      </c>
      <c r="H72" s="137">
        <f t="shared" si="37"/>
        <v>0.12380304080998883</v>
      </c>
      <c r="I72" s="139">
        <f t="shared" si="38"/>
        <v>1.005946656882005</v>
      </c>
      <c r="J72" s="134">
        <f t="shared" si="31"/>
        <v>44743</v>
      </c>
      <c r="K72" s="130">
        <v>8.4949999999999992</v>
      </c>
      <c r="L72" s="137">
        <f t="shared" si="22"/>
        <v>-0.15000000000000036</v>
      </c>
      <c r="M72" s="137">
        <f t="shared" si="23"/>
        <v>94281.46</v>
      </c>
      <c r="N72" s="127">
        <v>6.15</v>
      </c>
      <c r="O72" s="140">
        <f t="shared" si="39"/>
        <v>102.7100000000064</v>
      </c>
      <c r="P72" s="137">
        <f t="shared" si="32"/>
        <v>94281.46</v>
      </c>
      <c r="Q72" s="137">
        <f t="shared" si="40"/>
        <v>0.1327683870834262</v>
      </c>
      <c r="R72" s="139">
        <f t="shared" si="41"/>
        <v>1.005370351886971</v>
      </c>
      <c r="S72" s="169">
        <f t="shared" si="26"/>
        <v>-1.2999999999987466E-3</v>
      </c>
      <c r="T72" s="157">
        <f t="shared" si="33"/>
        <v>1.3400000000000745E-2</v>
      </c>
      <c r="U72" s="137">
        <f t="shared" si="34"/>
        <v>94282.28</v>
      </c>
      <c r="V72" s="137">
        <f t="shared" si="35"/>
        <v>94179.569999999992</v>
      </c>
      <c r="W72" s="137">
        <f t="shared" si="42"/>
        <v>1.4729354743803214E-2</v>
      </c>
      <c r="X72" s="139">
        <f t="shared" si="43"/>
        <v>1.0140117004143345</v>
      </c>
      <c r="AA72" s="128">
        <v>8.4937000000000005</v>
      </c>
      <c r="AB72" s="130">
        <v>8.4949999999999992</v>
      </c>
      <c r="AC72" s="127">
        <v>6.15</v>
      </c>
    </row>
    <row r="73" spans="1:29" x14ac:dyDescent="0.3">
      <c r="A73" s="134">
        <v>44480</v>
      </c>
      <c r="B73" s="134">
        <v>44743</v>
      </c>
      <c r="C73" s="135">
        <f>NETWORKDAYS(A73,B73-1,Feriados!$A$2:$A$2000)</f>
        <v>181</v>
      </c>
      <c r="D73" s="128">
        <v>8.5382999999999996</v>
      </c>
      <c r="E73" s="137">
        <f t="shared" si="29"/>
        <v>4.4599999999999085E-2</v>
      </c>
      <c r="F73" s="138">
        <f t="shared" si="30"/>
        <v>942.84946300000001</v>
      </c>
      <c r="G73" s="137">
        <f t="shared" si="36"/>
        <v>94284.95</v>
      </c>
      <c r="H73" s="137">
        <f t="shared" si="37"/>
        <v>2.8319213324135006E-3</v>
      </c>
      <c r="I73" s="139">
        <f t="shared" si="38"/>
        <v>1.005975144499974</v>
      </c>
      <c r="J73" s="134">
        <f t="shared" si="31"/>
        <v>44743</v>
      </c>
      <c r="K73" s="130">
        <v>8.5399999999999991</v>
      </c>
      <c r="L73" s="137">
        <f t="shared" si="22"/>
        <v>4.4999999999999929E-2</v>
      </c>
      <c r="M73" s="137">
        <f t="shared" si="23"/>
        <v>94283.89</v>
      </c>
      <c r="N73" s="127">
        <v>6.15</v>
      </c>
      <c r="O73" s="140">
        <f t="shared" si="39"/>
        <v>-19.899999999994179</v>
      </c>
      <c r="P73" s="137">
        <f t="shared" si="32"/>
        <v>94283.89</v>
      </c>
      <c r="Q73" s="137">
        <f t="shared" si="40"/>
        <v>2.5773890221847395E-3</v>
      </c>
      <c r="R73" s="139">
        <f t="shared" si="41"/>
        <v>1.0053962641920529</v>
      </c>
      <c r="S73" s="169">
        <f t="shared" si="26"/>
        <v>-1.6999999999995907E-3</v>
      </c>
      <c r="T73" s="157">
        <f t="shared" si="33"/>
        <v>-4.0000000000084412E-4</v>
      </c>
      <c r="U73" s="137">
        <f t="shared" si="34"/>
        <v>94284.95</v>
      </c>
      <c r="V73" s="137">
        <f t="shared" si="35"/>
        <v>94304.849999999991</v>
      </c>
      <c r="W73" s="137">
        <f t="shared" si="42"/>
        <v>2.3938750738738968E-2</v>
      </c>
      <c r="X73" s="139">
        <f t="shared" si="43"/>
        <v>1.0142544421477584</v>
      </c>
      <c r="AA73" s="128">
        <v>8.5382999999999996</v>
      </c>
      <c r="AB73" s="130">
        <v>8.5399999999999991</v>
      </c>
      <c r="AC73" s="127">
        <v>6.15</v>
      </c>
    </row>
    <row r="74" spans="1:29" x14ac:dyDescent="0.3">
      <c r="A74" s="134">
        <v>44482</v>
      </c>
      <c r="B74" s="134">
        <v>44743</v>
      </c>
      <c r="C74" s="135">
        <f>NETWORKDAYS(A74,B74-1,Feriados!$A$2:$A$2000)</f>
        <v>180</v>
      </c>
      <c r="D74" s="128">
        <v>8.5748999999999995</v>
      </c>
      <c r="E74" s="137">
        <f t="shared" si="29"/>
        <v>3.6599999999999966E-2</v>
      </c>
      <c r="F74" s="138">
        <f t="shared" si="30"/>
        <v>942.92895599999997</v>
      </c>
      <c r="G74" s="137">
        <f t="shared" si="36"/>
        <v>94292.9</v>
      </c>
      <c r="H74" s="137">
        <f t="shared" si="37"/>
        <v>8.4318865311905355E-3</v>
      </c>
      <c r="I74" s="139">
        <f t="shared" si="38"/>
        <v>1.0060599671826902</v>
      </c>
      <c r="J74" s="134">
        <f t="shared" si="31"/>
        <v>44743</v>
      </c>
      <c r="K74" s="130">
        <v>8.5749999999999993</v>
      </c>
      <c r="L74" s="137">
        <f t="shared" si="22"/>
        <v>3.5000000000000142E-2</v>
      </c>
      <c r="M74" s="137">
        <f t="shared" si="23"/>
        <v>94292.83</v>
      </c>
      <c r="N74" s="127">
        <v>6.15</v>
      </c>
      <c r="O74" s="140">
        <f t="shared" si="39"/>
        <v>-13.389999999999418</v>
      </c>
      <c r="P74" s="137">
        <f t="shared" si="32"/>
        <v>94292.83</v>
      </c>
      <c r="Q74" s="137">
        <f t="shared" si="40"/>
        <v>9.4820016441898858E-3</v>
      </c>
      <c r="R74" s="139">
        <f t="shared" si="41"/>
        <v>1.0054915958823543</v>
      </c>
      <c r="S74" s="169">
        <f t="shared" si="26"/>
        <v>-9.9999999999766942E-5</v>
      </c>
      <c r="T74" s="157">
        <f t="shared" si="33"/>
        <v>1.5999999999998238E-3</v>
      </c>
      <c r="U74" s="137">
        <f t="shared" si="34"/>
        <v>94292.9</v>
      </c>
      <c r="V74" s="137">
        <f t="shared" si="35"/>
        <v>94306.29</v>
      </c>
      <c r="W74" s="137">
        <f t="shared" si="42"/>
        <v>2.2633516801984221E-2</v>
      </c>
      <c r="X74" s="139">
        <f t="shared" si="43"/>
        <v>1.0144840035973368</v>
      </c>
      <c r="AA74" s="128">
        <v>8.5748999999999995</v>
      </c>
      <c r="AB74" s="130">
        <v>8.5749999999999993</v>
      </c>
      <c r="AC74" s="127">
        <v>6.15</v>
      </c>
    </row>
    <row r="75" spans="1:29" x14ac:dyDescent="0.3">
      <c r="A75" s="134">
        <v>44483</v>
      </c>
      <c r="B75" s="134">
        <v>44743</v>
      </c>
      <c r="C75" s="135">
        <f>NETWORKDAYS(A75,B75-1,Feriados!$A$2:$A$2000)</f>
        <v>179</v>
      </c>
      <c r="D75" s="128">
        <v>8.6464999999999996</v>
      </c>
      <c r="E75" s="137">
        <f t="shared" si="29"/>
        <v>7.1600000000000108E-2</v>
      </c>
      <c r="F75" s="138">
        <f t="shared" si="30"/>
        <v>942.79525999999998</v>
      </c>
      <c r="G75" s="137">
        <f t="shared" si="36"/>
        <v>94279.53</v>
      </c>
      <c r="H75" s="137">
        <f t="shared" si="37"/>
        <v>-1.4179222401677904E-2</v>
      </c>
      <c r="I75" s="139">
        <f t="shared" si="38"/>
        <v>1.005917315702449</v>
      </c>
      <c r="J75" s="134">
        <f t="shared" si="31"/>
        <v>44743</v>
      </c>
      <c r="K75" s="130">
        <v>8.65</v>
      </c>
      <c r="L75" s="137">
        <f t="shared" si="22"/>
        <v>7.5000000000001066E-2</v>
      </c>
      <c r="M75" s="137">
        <f t="shared" si="23"/>
        <v>94277.37</v>
      </c>
      <c r="N75" s="127">
        <v>6.15</v>
      </c>
      <c r="O75" s="140">
        <f t="shared" si="39"/>
        <v>-37.790000000008149</v>
      </c>
      <c r="P75" s="137">
        <f t="shared" si="32"/>
        <v>94277.37</v>
      </c>
      <c r="Q75" s="137">
        <f t="shared" si="40"/>
        <v>-1.6395732316032419E-2</v>
      </c>
      <c r="R75" s="139">
        <f t="shared" si="41"/>
        <v>1.0053267381718332</v>
      </c>
      <c r="S75" s="169">
        <f t="shared" si="26"/>
        <v>-3.5000000000007248E-3</v>
      </c>
      <c r="T75" s="157">
        <f t="shared" si="33"/>
        <v>-3.4000000000009578E-3</v>
      </c>
      <c r="U75" s="137">
        <f t="shared" si="34"/>
        <v>94279.53</v>
      </c>
      <c r="V75" s="137">
        <f t="shared" si="35"/>
        <v>94317.32</v>
      </c>
      <c r="W75" s="137">
        <f t="shared" si="42"/>
        <v>2.5898026256498952E-2</v>
      </c>
      <c r="X75" s="139">
        <f t="shared" si="43"/>
        <v>1.0147467349309565</v>
      </c>
      <c r="AA75" s="128">
        <v>8.6464999999999996</v>
      </c>
      <c r="AB75" s="130">
        <v>8.65</v>
      </c>
      <c r="AC75" s="127">
        <v>6.15</v>
      </c>
    </row>
    <row r="76" spans="1:29" x14ac:dyDescent="0.3">
      <c r="A76" s="134">
        <v>44484</v>
      </c>
      <c r="B76" s="134">
        <v>44743</v>
      </c>
      <c r="C76" s="135">
        <f>NETWORKDAYS(A76,B76-1,Feriados!$A$2:$A$2000)</f>
        <v>178</v>
      </c>
      <c r="D76" s="128">
        <v>8.7215000000000007</v>
      </c>
      <c r="E76" s="137">
        <f t="shared" si="29"/>
        <v>7.5000000000001066E-2</v>
      </c>
      <c r="F76" s="138">
        <f t="shared" si="30"/>
        <v>942.645982</v>
      </c>
      <c r="G76" s="137">
        <f t="shared" si="36"/>
        <v>94264.6</v>
      </c>
      <c r="H76" s="137">
        <f t="shared" si="37"/>
        <v>-1.5835887175075225E-2</v>
      </c>
      <c r="I76" s="139">
        <f t="shared" si="38"/>
        <v>1.0057580197712599</v>
      </c>
      <c r="J76" s="134">
        <f t="shared" si="31"/>
        <v>44743</v>
      </c>
      <c r="K76" s="130">
        <v>8.7249999999999996</v>
      </c>
      <c r="L76" s="137">
        <f t="shared" si="22"/>
        <v>7.4999999999999289E-2</v>
      </c>
      <c r="M76" s="137">
        <f t="shared" si="23"/>
        <v>94262.45</v>
      </c>
      <c r="N76" s="127">
        <v>6.15</v>
      </c>
      <c r="O76" s="140">
        <f t="shared" si="39"/>
        <v>-37.25</v>
      </c>
      <c r="P76" s="137">
        <f t="shared" si="32"/>
        <v>94262.45</v>
      </c>
      <c r="Q76" s="137">
        <f t="shared" ref="Q76:Q139" si="44">+(P76/P75-1)*100</f>
        <v>-1.5825642993649858E-2</v>
      </c>
      <c r="R76" s="139">
        <f t="shared" ref="R76:R139" si="45">+R75*(1+Q76/100)</f>
        <v>1.0051676387513304</v>
      </c>
      <c r="S76" s="169">
        <f t="shared" si="26"/>
        <v>-3.4999999999989484E-3</v>
      </c>
      <c r="T76" s="157">
        <f t="shared" si="33"/>
        <v>1.7763568394002505E-15</v>
      </c>
      <c r="U76" s="137">
        <f t="shared" si="34"/>
        <v>94264.6</v>
      </c>
      <c r="V76" s="137">
        <f t="shared" si="35"/>
        <v>94301.85</v>
      </c>
      <c r="W76" s="137">
        <f t="shared" ref="W76:W139" si="46">+(V76/U75-1)*100</f>
        <v>2.3674280090291155E-2</v>
      </c>
      <c r="X76" s="139">
        <f t="shared" ref="X76:X139" si="47">+X75*(1+W76/100)</f>
        <v>1.0149869689151911</v>
      </c>
      <c r="AA76" s="128">
        <v>8.7215000000000007</v>
      </c>
      <c r="AB76" s="130">
        <v>8.7249999999999996</v>
      </c>
      <c r="AC76" s="127">
        <v>6.15</v>
      </c>
    </row>
    <row r="77" spans="1:29" x14ac:dyDescent="0.3">
      <c r="A77" s="134">
        <v>44487</v>
      </c>
      <c r="B77" s="134">
        <v>44743</v>
      </c>
      <c r="C77" s="135">
        <f>NETWORKDAYS(A77,B77-1,Feriados!$A$2:$A$2000)</f>
        <v>177</v>
      </c>
      <c r="D77" s="128">
        <v>8.7779000000000007</v>
      </c>
      <c r="E77" s="137">
        <f t="shared" si="29"/>
        <v>5.6400000000000006E-2</v>
      </c>
      <c r="F77" s="138">
        <f t="shared" si="30"/>
        <v>942.61539600000003</v>
      </c>
      <c r="G77" s="137">
        <f t="shared" si="36"/>
        <v>94261.54</v>
      </c>
      <c r="H77" s="137">
        <f t="shared" si="37"/>
        <v>-3.2461814933881783E-3</v>
      </c>
      <c r="I77" s="139">
        <f t="shared" si="38"/>
        <v>1.0057253710405538</v>
      </c>
      <c r="J77" s="134">
        <f t="shared" si="31"/>
        <v>44743</v>
      </c>
      <c r="K77" s="130">
        <v>8.7850000000000001</v>
      </c>
      <c r="L77" s="137">
        <f t="shared" si="22"/>
        <v>6.0000000000000497E-2</v>
      </c>
      <c r="M77" s="137">
        <f t="shared" si="23"/>
        <v>94257.22</v>
      </c>
      <c r="N77" s="127">
        <v>6.15</v>
      </c>
      <c r="O77" s="140">
        <f t="shared" si="39"/>
        <v>-27.559999999997672</v>
      </c>
      <c r="P77" s="137">
        <f t="shared" si="32"/>
        <v>94257.22</v>
      </c>
      <c r="Q77" s="137">
        <f t="shared" si="44"/>
        <v>-5.5483387075061508E-3</v>
      </c>
      <c r="R77" s="139">
        <f t="shared" si="45"/>
        <v>1.0051118686461542</v>
      </c>
      <c r="S77" s="169">
        <f t="shared" si="26"/>
        <v>-7.0999999999994401E-3</v>
      </c>
      <c r="T77" s="157">
        <f t="shared" si="33"/>
        <v>-3.6000000000004917E-3</v>
      </c>
      <c r="U77" s="137">
        <f t="shared" si="34"/>
        <v>94261.54</v>
      </c>
      <c r="V77" s="137">
        <f t="shared" si="35"/>
        <v>94289.099999999991</v>
      </c>
      <c r="W77" s="137">
        <f t="shared" si="46"/>
        <v>2.5990668819453333E-2</v>
      </c>
      <c r="X77" s="139">
        <f t="shared" si="47"/>
        <v>1.0152507708168426</v>
      </c>
      <c r="AA77" s="128">
        <v>8.7779000000000007</v>
      </c>
      <c r="AB77" s="130">
        <v>8.7850000000000001</v>
      </c>
      <c r="AC77" s="127">
        <v>6.15</v>
      </c>
    </row>
    <row r="78" spans="1:29" x14ac:dyDescent="0.3">
      <c r="A78" s="134">
        <v>44488</v>
      </c>
      <c r="B78" s="134">
        <v>44743</v>
      </c>
      <c r="C78" s="135">
        <f>NETWORKDAYS(A78,B78-1,Feriados!$A$2:$A$2000)</f>
        <v>176</v>
      </c>
      <c r="D78" s="128">
        <v>9.2133000000000003</v>
      </c>
      <c r="E78" s="137">
        <f t="shared" si="29"/>
        <v>0.43539999999999957</v>
      </c>
      <c r="F78" s="138">
        <f t="shared" si="30"/>
        <v>940.303134</v>
      </c>
      <c r="G78" s="137">
        <f t="shared" si="36"/>
        <v>94030.31</v>
      </c>
      <c r="H78" s="137">
        <f t="shared" si="37"/>
        <v>-0.24530683457961722</v>
      </c>
      <c r="I78" s="139">
        <f t="shared" si="38"/>
        <v>1.00325825796829</v>
      </c>
      <c r="J78" s="134">
        <f t="shared" si="31"/>
        <v>44743</v>
      </c>
      <c r="K78" s="130">
        <v>9.23</v>
      </c>
      <c r="L78" s="137">
        <f t="shared" si="22"/>
        <v>0.44500000000000028</v>
      </c>
      <c r="M78" s="137">
        <f t="shared" si="23"/>
        <v>94020.27</v>
      </c>
      <c r="N78" s="127">
        <v>6.15</v>
      </c>
      <c r="O78" s="140">
        <f t="shared" si="39"/>
        <v>-259.27999999999884</v>
      </c>
      <c r="P78" s="137">
        <f t="shared" si="32"/>
        <v>94020.27</v>
      </c>
      <c r="Q78" s="137">
        <f t="shared" si="44"/>
        <v>-0.25138657813162935</v>
      </c>
      <c r="R78" s="139">
        <f t="shared" si="45"/>
        <v>1.0025851523131697</v>
      </c>
      <c r="S78" s="169">
        <f t="shared" si="26"/>
        <v>-1.6700000000000159E-2</v>
      </c>
      <c r="T78" s="157">
        <f t="shared" si="33"/>
        <v>-9.6000000000007191E-3</v>
      </c>
      <c r="U78" s="137">
        <f t="shared" si="34"/>
        <v>94030.31</v>
      </c>
      <c r="V78" s="137">
        <f t="shared" si="35"/>
        <v>94289.59</v>
      </c>
      <c r="W78" s="137">
        <f t="shared" si="46"/>
        <v>2.9757629675897235E-2</v>
      </c>
      <c r="X78" s="139">
        <f t="shared" si="47"/>
        <v>1.0155528853815039</v>
      </c>
      <c r="AA78" s="128">
        <v>9.2133000000000003</v>
      </c>
      <c r="AB78" s="130">
        <v>9.23</v>
      </c>
      <c r="AC78" s="127">
        <v>6.15</v>
      </c>
    </row>
    <row r="79" spans="1:29" x14ac:dyDescent="0.3">
      <c r="A79" s="134">
        <v>44489</v>
      </c>
      <c r="B79" s="134">
        <v>44743</v>
      </c>
      <c r="C79" s="135">
        <f>NETWORKDAYS(A79,B79-1,Feriados!$A$2:$A$2000)</f>
        <v>175</v>
      </c>
      <c r="D79" s="128">
        <v>9.2079000000000004</v>
      </c>
      <c r="E79" s="137">
        <f t="shared" si="29"/>
        <v>-5.3999999999998494E-3</v>
      </c>
      <c r="F79" s="138">
        <f t="shared" si="30"/>
        <v>940.66434600000002</v>
      </c>
      <c r="G79" s="137">
        <f t="shared" si="36"/>
        <v>94066.43</v>
      </c>
      <c r="H79" s="137">
        <f t="shared" si="37"/>
        <v>3.8413145718640962E-2</v>
      </c>
      <c r="I79" s="139">
        <f t="shared" si="38"/>
        <v>1.0036436410248577</v>
      </c>
      <c r="J79" s="134">
        <f t="shared" si="31"/>
        <v>44743</v>
      </c>
      <c r="K79" s="130">
        <v>9.2249999999999996</v>
      </c>
      <c r="L79" s="137">
        <f t="shared" si="22"/>
        <v>-5.0000000000007816E-3</v>
      </c>
      <c r="M79" s="137">
        <f t="shared" si="23"/>
        <v>94056.21</v>
      </c>
      <c r="N79" s="127">
        <v>6.15</v>
      </c>
      <c r="O79" s="140">
        <f t="shared" si="39"/>
        <v>13.670000000012806</v>
      </c>
      <c r="P79" s="137">
        <f t="shared" si="32"/>
        <v>94056.21</v>
      </c>
      <c r="Q79" s="137">
        <f t="shared" si="44"/>
        <v>3.8225799606839139E-2</v>
      </c>
      <c r="R79" s="139">
        <f t="shared" si="45"/>
        <v>1.0029683985043809</v>
      </c>
      <c r="S79" s="169">
        <f t="shared" si="26"/>
        <v>-1.7099999999999227E-2</v>
      </c>
      <c r="T79" s="157">
        <f t="shared" si="33"/>
        <v>-3.9999999999906777E-4</v>
      </c>
      <c r="U79" s="137">
        <f t="shared" si="34"/>
        <v>94066.43</v>
      </c>
      <c r="V79" s="137">
        <f t="shared" si="35"/>
        <v>94052.75999999998</v>
      </c>
      <c r="W79" s="137">
        <f t="shared" si="46"/>
        <v>2.3875280215479577E-2</v>
      </c>
      <c r="X79" s="139">
        <f t="shared" si="47"/>
        <v>1.0157953514786251</v>
      </c>
      <c r="AA79" s="128">
        <v>9.2079000000000004</v>
      </c>
      <c r="AB79" s="130">
        <v>9.2249999999999996</v>
      </c>
      <c r="AC79" s="127">
        <v>6.15</v>
      </c>
    </row>
    <row r="80" spans="1:29" x14ac:dyDescent="0.3">
      <c r="A80" s="134">
        <v>44490</v>
      </c>
      <c r="B80" s="134">
        <v>44743</v>
      </c>
      <c r="C80" s="135">
        <f>NETWORKDAYS(A80,B80-1,Feriados!$A$2:$A$2000)</f>
        <v>174</v>
      </c>
      <c r="D80" s="128">
        <v>9.7322000000000006</v>
      </c>
      <c r="E80" s="137">
        <f t="shared" si="29"/>
        <v>0.52430000000000021</v>
      </c>
      <c r="F80" s="138">
        <f t="shared" si="30"/>
        <v>937.88647600000002</v>
      </c>
      <c r="G80" s="137">
        <f t="shared" si="36"/>
        <v>93788.65</v>
      </c>
      <c r="H80" s="137">
        <f t="shared" si="37"/>
        <v>-0.29530194778306651</v>
      </c>
      <c r="I80" s="139">
        <f t="shared" si="38"/>
        <v>1.0006798618041104</v>
      </c>
      <c r="J80" s="134">
        <f t="shared" si="31"/>
        <v>44743</v>
      </c>
      <c r="K80" s="130">
        <v>9.75</v>
      </c>
      <c r="L80" s="137">
        <f t="shared" si="22"/>
        <v>0.52500000000000036</v>
      </c>
      <c r="M80" s="137">
        <f t="shared" si="23"/>
        <v>93778.14</v>
      </c>
      <c r="N80" s="127">
        <v>6.15</v>
      </c>
      <c r="O80" s="140">
        <f t="shared" si="39"/>
        <v>-300.35000000000582</v>
      </c>
      <c r="P80" s="137">
        <f t="shared" si="32"/>
        <v>93778.14</v>
      </c>
      <c r="Q80" s="137">
        <f t="shared" si="44"/>
        <v>-0.29564236109450581</v>
      </c>
      <c r="R80" s="139">
        <f t="shared" si="45"/>
        <v>1.0000031990500109</v>
      </c>
      <c r="S80" s="169">
        <f t="shared" si="26"/>
        <v>-1.7799999999999372E-2</v>
      </c>
      <c r="T80" s="157">
        <f t="shared" si="33"/>
        <v>-7.0000000000014495E-4</v>
      </c>
      <c r="U80" s="137">
        <f t="shared" si="34"/>
        <v>93788.65</v>
      </c>
      <c r="V80" s="137">
        <f t="shared" si="35"/>
        <v>94089</v>
      </c>
      <c r="W80" s="137">
        <f t="shared" si="46"/>
        <v>2.3993681911815834E-2</v>
      </c>
      <c r="X80" s="139">
        <f t="shared" si="47"/>
        <v>1.016039078184134</v>
      </c>
      <c r="AA80" s="128">
        <v>9.7322000000000006</v>
      </c>
      <c r="AB80" s="130">
        <v>9.75</v>
      </c>
      <c r="AC80" s="127">
        <v>6.15</v>
      </c>
    </row>
    <row r="81" spans="1:29" x14ac:dyDescent="0.3">
      <c r="A81" s="134">
        <v>44491</v>
      </c>
      <c r="B81" s="134">
        <v>44743</v>
      </c>
      <c r="C81" s="135">
        <f>NETWORKDAYS(A81,B81-1,Feriados!$A$2:$A$2000)</f>
        <v>173</v>
      </c>
      <c r="D81" s="128">
        <v>10.0823</v>
      </c>
      <c r="E81" s="137">
        <f t="shared" si="29"/>
        <v>0.35009999999999941</v>
      </c>
      <c r="F81" s="138">
        <f t="shared" si="30"/>
        <v>936.18269399999997</v>
      </c>
      <c r="G81" s="137">
        <f t="shared" si="36"/>
        <v>93618.27</v>
      </c>
      <c r="H81" s="137">
        <f t="shared" si="37"/>
        <v>-0.18166377274860812</v>
      </c>
      <c r="I81" s="139">
        <f t="shared" si="38"/>
        <v>0.99886198901402146</v>
      </c>
      <c r="J81" s="134">
        <f t="shared" si="31"/>
        <v>44743</v>
      </c>
      <c r="K81" s="130">
        <v>10.1</v>
      </c>
      <c r="L81" s="137">
        <f t="shared" si="22"/>
        <v>0.34999999999999964</v>
      </c>
      <c r="M81" s="137">
        <f t="shared" si="23"/>
        <v>93607.94</v>
      </c>
      <c r="N81" s="127">
        <v>6.15</v>
      </c>
      <c r="O81" s="140">
        <f t="shared" si="39"/>
        <v>-192.41000000000349</v>
      </c>
      <c r="P81" s="137">
        <f t="shared" si="32"/>
        <v>93607.94</v>
      </c>
      <c r="Q81" s="137">
        <f t="shared" si="44"/>
        <v>-0.18149218997092209</v>
      </c>
      <c r="R81" s="139">
        <f t="shared" si="45"/>
        <v>0.99818827134427579</v>
      </c>
      <c r="S81" s="169">
        <f t="shared" si="26"/>
        <v>-1.7699999999999605E-2</v>
      </c>
      <c r="T81" s="157">
        <f t="shared" si="33"/>
        <v>9.9999999999766942E-5</v>
      </c>
      <c r="U81" s="137">
        <f t="shared" si="34"/>
        <v>93618.27</v>
      </c>
      <c r="V81" s="137">
        <f t="shared" si="35"/>
        <v>93810.680000000008</v>
      </c>
      <c r="W81" s="137">
        <f t="shared" si="46"/>
        <v>2.3488982941977099E-2</v>
      </c>
      <c r="X81" s="139">
        <f t="shared" si="47"/>
        <v>1.0162777354298924</v>
      </c>
      <c r="AA81" s="128">
        <v>10.0823</v>
      </c>
      <c r="AB81" s="130">
        <v>10.1</v>
      </c>
      <c r="AC81" s="127">
        <v>6.15</v>
      </c>
    </row>
    <row r="82" spans="1:29" x14ac:dyDescent="0.3">
      <c r="A82" s="134">
        <v>44494</v>
      </c>
      <c r="B82" s="134">
        <v>44743</v>
      </c>
      <c r="C82" s="135">
        <f>NETWORKDAYS(A82,B82-1,Feriados!$A$2:$A$2000)</f>
        <v>172</v>
      </c>
      <c r="D82" s="128">
        <v>10.377700000000001</v>
      </c>
      <c r="E82" s="137">
        <f t="shared" si="29"/>
        <v>0.29540000000000077</v>
      </c>
      <c r="F82" s="138">
        <f t="shared" si="30"/>
        <v>934.82815400000004</v>
      </c>
      <c r="G82" s="137">
        <f t="shared" si="36"/>
        <v>93482.82</v>
      </c>
      <c r="H82" s="137">
        <f t="shared" si="37"/>
        <v>-0.14468329739483199</v>
      </c>
      <c r="I82" s="139">
        <f t="shared" si="38"/>
        <v>0.99741680255189236</v>
      </c>
      <c r="J82" s="134">
        <f t="shared" si="31"/>
        <v>44743</v>
      </c>
      <c r="K82" s="130">
        <v>10.395</v>
      </c>
      <c r="L82" s="137">
        <f t="shared" si="22"/>
        <v>0.29499999999999993</v>
      </c>
      <c r="M82" s="137">
        <f t="shared" si="23"/>
        <v>93472.82</v>
      </c>
      <c r="N82" s="127">
        <v>6.15</v>
      </c>
      <c r="O82" s="140">
        <f t="shared" si="39"/>
        <v>-157.2899999999936</v>
      </c>
      <c r="P82" s="137">
        <f t="shared" si="32"/>
        <v>93472.82</v>
      </c>
      <c r="Q82" s="137">
        <f t="shared" si="44"/>
        <v>-0.14434672956160632</v>
      </c>
      <c r="R82" s="139">
        <f t="shared" si="45"/>
        <v>0.99674741921972276</v>
      </c>
      <c r="S82" s="169">
        <f t="shared" si="26"/>
        <v>-1.7299999999998761E-2</v>
      </c>
      <c r="T82" s="157">
        <f t="shared" si="33"/>
        <v>4.0000000000084412E-4</v>
      </c>
      <c r="U82" s="137">
        <f t="shared" si="34"/>
        <v>93482.82</v>
      </c>
      <c r="V82" s="137">
        <f t="shared" si="35"/>
        <v>93640.11</v>
      </c>
      <c r="W82" s="137">
        <f t="shared" si="46"/>
        <v>2.3328779734987926E-2</v>
      </c>
      <c r="X82" s="139">
        <f t="shared" si="47"/>
        <v>1.0165148206242867</v>
      </c>
      <c r="AA82" s="128">
        <v>10.377700000000001</v>
      </c>
      <c r="AB82" s="130">
        <v>10.395</v>
      </c>
      <c r="AC82" s="127">
        <v>6.15</v>
      </c>
    </row>
    <row r="83" spans="1:29" x14ac:dyDescent="0.3">
      <c r="A83" s="134">
        <v>44495</v>
      </c>
      <c r="B83" s="134">
        <v>44743</v>
      </c>
      <c r="C83" s="135">
        <f>NETWORKDAYS(A83,B83-1,Feriados!$A$2:$A$2000)</f>
        <v>171</v>
      </c>
      <c r="D83" s="128">
        <v>10.7249</v>
      </c>
      <c r="E83" s="137">
        <f t="shared" si="29"/>
        <v>0.34719999999999906</v>
      </c>
      <c r="F83" s="138">
        <f t="shared" si="30"/>
        <v>933.20360000000005</v>
      </c>
      <c r="G83" s="137">
        <f t="shared" si="36"/>
        <v>93320.36</v>
      </c>
      <c r="H83" s="137">
        <f t="shared" si="37"/>
        <v>-0.17378594270049952</v>
      </c>
      <c r="I83" s="139">
        <f t="shared" si="38"/>
        <v>0.99568343235892443</v>
      </c>
      <c r="J83" s="134">
        <f t="shared" si="31"/>
        <v>44743</v>
      </c>
      <c r="K83" s="130">
        <v>10.74</v>
      </c>
      <c r="L83" s="137">
        <f t="shared" si="22"/>
        <v>0.34500000000000064</v>
      </c>
      <c r="M83" s="137">
        <f t="shared" si="23"/>
        <v>93311.73</v>
      </c>
      <c r="N83" s="127">
        <v>6.15</v>
      </c>
      <c r="O83" s="140">
        <f t="shared" si="39"/>
        <v>-183.23000000001048</v>
      </c>
      <c r="P83" s="137">
        <f t="shared" si="32"/>
        <v>93311.73</v>
      </c>
      <c r="Q83" s="137">
        <f t="shared" si="44"/>
        <v>-0.17233886813301513</v>
      </c>
      <c r="R83" s="139">
        <f t="shared" si="45"/>
        <v>0.9950296359992945</v>
      </c>
      <c r="S83" s="169">
        <f t="shared" si="26"/>
        <v>-1.5100000000000335E-2</v>
      </c>
      <c r="T83" s="157">
        <f t="shared" si="33"/>
        <v>2.1999999999984254E-3</v>
      </c>
      <c r="U83" s="137">
        <f t="shared" si="34"/>
        <v>93320.36</v>
      </c>
      <c r="V83" s="137">
        <f t="shared" si="35"/>
        <v>93503.590000000011</v>
      </c>
      <c r="W83" s="137">
        <f t="shared" si="46"/>
        <v>2.2217986149764002E-2</v>
      </c>
      <c r="X83" s="139">
        <f t="shared" si="47"/>
        <v>1.0167406697463433</v>
      </c>
      <c r="AA83" s="128">
        <v>10.7249</v>
      </c>
      <c r="AB83" s="130">
        <v>10.74</v>
      </c>
      <c r="AC83" s="127">
        <v>6.15</v>
      </c>
    </row>
    <row r="84" spans="1:29" x14ac:dyDescent="0.3">
      <c r="A84" s="134">
        <v>44496</v>
      </c>
      <c r="B84" s="134">
        <v>44743</v>
      </c>
      <c r="C84" s="135">
        <f>NETWORKDAYS(A84,B84-1,Feriados!$A$2:$A$2000)</f>
        <v>170</v>
      </c>
      <c r="D84" s="128">
        <v>10.715</v>
      </c>
      <c r="E84" s="137">
        <f t="shared" si="29"/>
        <v>-9.9000000000000199E-3</v>
      </c>
      <c r="F84" s="138">
        <f t="shared" si="30"/>
        <v>933.63726699999995</v>
      </c>
      <c r="G84" s="137">
        <f t="shared" si="36"/>
        <v>93363.73</v>
      </c>
      <c r="H84" s="137">
        <f t="shared" si="37"/>
        <v>4.6474317072919824E-2</v>
      </c>
      <c r="I84" s="139">
        <f t="shared" si="38"/>
        <v>0.99614616943432144</v>
      </c>
      <c r="J84" s="134">
        <f t="shared" si="31"/>
        <v>44743</v>
      </c>
      <c r="K84" s="130">
        <v>10.73</v>
      </c>
      <c r="L84" s="137">
        <f t="shared" si="22"/>
        <v>-9.9999999999997868E-3</v>
      </c>
      <c r="M84" s="137">
        <f t="shared" si="23"/>
        <v>93355.19</v>
      </c>
      <c r="N84" s="127">
        <v>6.15</v>
      </c>
      <c r="O84" s="140">
        <f t="shared" si="39"/>
        <v>21.360000000000582</v>
      </c>
      <c r="P84" s="137">
        <f t="shared" si="32"/>
        <v>93355.19</v>
      </c>
      <c r="Q84" s="137">
        <f t="shared" si="44"/>
        <v>4.6575066178711211E-2</v>
      </c>
      <c r="R84" s="139">
        <f t="shared" si="45"/>
        <v>0.99549307171075896</v>
      </c>
      <c r="S84" s="169">
        <f t="shared" si="26"/>
        <v>-1.5000000000000568E-2</v>
      </c>
      <c r="T84" s="157">
        <f t="shared" si="33"/>
        <v>9.9999999999766942E-5</v>
      </c>
      <c r="U84" s="137">
        <f t="shared" si="34"/>
        <v>93363.73</v>
      </c>
      <c r="V84" s="137">
        <f t="shared" si="35"/>
        <v>93342.37</v>
      </c>
      <c r="W84" s="137">
        <f t="shared" si="46"/>
        <v>2.3585421230687409E-2</v>
      </c>
      <c r="X84" s="139">
        <f t="shared" si="47"/>
        <v>1.0169804723161266</v>
      </c>
      <c r="AA84" s="128">
        <v>10.715</v>
      </c>
      <c r="AB84" s="130">
        <v>10.73</v>
      </c>
      <c r="AC84" s="127">
        <v>6.15</v>
      </c>
    </row>
    <row r="85" spans="1:29" x14ac:dyDescent="0.3">
      <c r="A85" s="134">
        <v>44497</v>
      </c>
      <c r="B85" s="134">
        <v>44743</v>
      </c>
      <c r="C85" s="135">
        <f>NETWORKDAYS(A85,B85-1,Feriados!$A$2:$A$2000)</f>
        <v>169</v>
      </c>
      <c r="D85" s="128">
        <v>11.365</v>
      </c>
      <c r="E85" s="137">
        <f t="shared" si="29"/>
        <v>0.65000000000000036</v>
      </c>
      <c r="F85" s="138">
        <f t="shared" si="30"/>
        <v>930.35495400000002</v>
      </c>
      <c r="G85" s="137">
        <f t="shared" si="36"/>
        <v>93035.5</v>
      </c>
      <c r="H85" s="137">
        <f t="shared" si="37"/>
        <v>-0.35156050427719299</v>
      </c>
      <c r="I85" s="139">
        <f t="shared" si="38"/>
        <v>0.99264411293772015</v>
      </c>
      <c r="J85" s="134">
        <f t="shared" si="31"/>
        <v>44743</v>
      </c>
      <c r="K85" s="130">
        <v>11.38</v>
      </c>
      <c r="L85" s="137">
        <f t="shared" si="22"/>
        <v>0.65000000000000036</v>
      </c>
      <c r="M85" s="137">
        <f t="shared" si="23"/>
        <v>93027.09</v>
      </c>
      <c r="N85" s="127">
        <v>6.15</v>
      </c>
      <c r="O85" s="140">
        <f t="shared" si="39"/>
        <v>-350.2100000000064</v>
      </c>
      <c r="P85" s="137">
        <f t="shared" si="32"/>
        <v>93027.09</v>
      </c>
      <c r="Q85" s="137">
        <f t="shared" si="44"/>
        <v>-0.35145341142790443</v>
      </c>
      <c r="R85" s="139">
        <f t="shared" si="45"/>
        <v>0.99199437734970308</v>
      </c>
      <c r="S85" s="169">
        <f t="shared" si="26"/>
        <v>-1.5000000000000568E-2</v>
      </c>
      <c r="T85" s="157">
        <f t="shared" si="33"/>
        <v>0</v>
      </c>
      <c r="U85" s="137">
        <f t="shared" si="34"/>
        <v>93035.5</v>
      </c>
      <c r="V85" s="137">
        <f t="shared" si="35"/>
        <v>93385.71</v>
      </c>
      <c r="W85" s="137">
        <f t="shared" si="46"/>
        <v>2.3542332766712804E-2</v>
      </c>
      <c r="X85" s="139">
        <f t="shared" si="47"/>
        <v>1.0172198932430918</v>
      </c>
      <c r="AA85" s="128">
        <v>11.365</v>
      </c>
      <c r="AB85" s="130">
        <v>11.38</v>
      </c>
      <c r="AC85" s="127">
        <v>6.15</v>
      </c>
    </row>
    <row r="86" spans="1:29" x14ac:dyDescent="0.3">
      <c r="A86" s="134">
        <v>44498</v>
      </c>
      <c r="B86" s="134">
        <v>44743</v>
      </c>
      <c r="C86" s="135">
        <f>NETWORKDAYS(A86,B86-1,Feriados!$A$2:$A$2000)</f>
        <v>168</v>
      </c>
      <c r="D86" s="128">
        <v>11.195499999999999</v>
      </c>
      <c r="E86" s="137">
        <f t="shared" si="29"/>
        <v>-0.16950000000000109</v>
      </c>
      <c r="F86" s="138">
        <f t="shared" si="30"/>
        <v>931.69806100000005</v>
      </c>
      <c r="G86" s="137">
        <f t="shared" si="36"/>
        <v>93169.81</v>
      </c>
      <c r="H86" s="137">
        <f t="shared" si="37"/>
        <v>0.14436424805583936</v>
      </c>
      <c r="I86" s="139">
        <f t="shared" si="38"/>
        <v>0.99407713614723325</v>
      </c>
      <c r="J86" s="134">
        <f t="shared" si="31"/>
        <v>44743</v>
      </c>
      <c r="K86" s="130">
        <v>11.21</v>
      </c>
      <c r="L86" s="137">
        <f t="shared" si="22"/>
        <v>-0.16999999999999993</v>
      </c>
      <c r="M86" s="137">
        <f t="shared" si="23"/>
        <v>93161.71</v>
      </c>
      <c r="N86" s="127">
        <v>7.65</v>
      </c>
      <c r="O86" s="140">
        <f t="shared" si="39"/>
        <v>112.59000000001106</v>
      </c>
      <c r="P86" s="137">
        <f t="shared" si="32"/>
        <v>93161.71</v>
      </c>
      <c r="Q86" s="137">
        <f t="shared" si="44"/>
        <v>0.14471053539351075</v>
      </c>
      <c r="R86" s="139">
        <f t="shared" si="45"/>
        <v>0.9934298977242394</v>
      </c>
      <c r="S86" s="169">
        <f t="shared" si="26"/>
        <v>-1.4500000000001734E-2</v>
      </c>
      <c r="T86" s="157">
        <f t="shared" si="33"/>
        <v>4.9999999999883471E-4</v>
      </c>
      <c r="U86" s="137">
        <f t="shared" si="34"/>
        <v>93169.81</v>
      </c>
      <c r="V86" s="137">
        <f t="shared" si="35"/>
        <v>93057.219999999987</v>
      </c>
      <c r="W86" s="137">
        <f t="shared" si="46"/>
        <v>2.3345927092321972E-2</v>
      </c>
      <c r="X86" s="139">
        <f t="shared" si="47"/>
        <v>1.0174573726577369</v>
      </c>
      <c r="AA86" s="128">
        <v>11.195499999999999</v>
      </c>
      <c r="AB86" s="130">
        <v>11.21</v>
      </c>
      <c r="AC86" s="127">
        <v>7.65</v>
      </c>
    </row>
    <row r="87" spans="1:29" x14ac:dyDescent="0.3">
      <c r="A87" s="134">
        <v>44501</v>
      </c>
      <c r="B87" s="134">
        <v>44743</v>
      </c>
      <c r="C87" s="135">
        <f>NETWORKDAYS(A87,B87-1,Feriados!$A$2:$A$2000)</f>
        <v>167</v>
      </c>
      <c r="D87" s="128">
        <v>11.315</v>
      </c>
      <c r="E87" s="137">
        <f t="shared" si="29"/>
        <v>0.11950000000000038</v>
      </c>
      <c r="F87" s="138">
        <f t="shared" si="30"/>
        <v>931.42725700000005</v>
      </c>
      <c r="G87" s="137">
        <f t="shared" si="36"/>
        <v>93142.73</v>
      </c>
      <c r="H87" s="137">
        <f t="shared" si="37"/>
        <v>-2.9065208998491077E-2</v>
      </c>
      <c r="I87" s="139">
        <f t="shared" si="38"/>
        <v>0.9937882055500058</v>
      </c>
      <c r="J87" s="134">
        <f t="shared" si="31"/>
        <v>44743</v>
      </c>
      <c r="K87" s="130">
        <v>11.33</v>
      </c>
      <c r="L87" s="137">
        <f t="shared" si="22"/>
        <v>0.11999999999999922</v>
      </c>
      <c r="M87" s="137">
        <f t="shared" si="23"/>
        <v>93134.41</v>
      </c>
      <c r="N87" s="127">
        <v>7.65</v>
      </c>
      <c r="O87" s="140">
        <f t="shared" si="39"/>
        <v>-54.559999999997672</v>
      </c>
      <c r="P87" s="137">
        <f t="shared" si="32"/>
        <v>93134.41</v>
      </c>
      <c r="Q87" s="137">
        <f t="shared" si="44"/>
        <v>-2.9303884610965003E-2</v>
      </c>
      <c r="R87" s="139">
        <f t="shared" si="45"/>
        <v>0.99313878417331947</v>
      </c>
      <c r="S87" s="169">
        <f t="shared" si="26"/>
        <v>-1.5000000000000568E-2</v>
      </c>
      <c r="T87" s="157">
        <f t="shared" si="33"/>
        <v>-4.9999999999883471E-4</v>
      </c>
      <c r="U87" s="137">
        <f t="shared" si="34"/>
        <v>93142.73</v>
      </c>
      <c r="V87" s="137">
        <f t="shared" si="35"/>
        <v>93197.29</v>
      </c>
      <c r="W87" s="137">
        <f t="shared" si="46"/>
        <v>2.9494532617380109E-2</v>
      </c>
      <c r="X87" s="139">
        <f t="shared" si="47"/>
        <v>1.0177574669543834</v>
      </c>
      <c r="AA87" s="128">
        <v>11.315</v>
      </c>
      <c r="AB87" s="130">
        <v>11.33</v>
      </c>
      <c r="AC87" s="127">
        <v>7.65</v>
      </c>
    </row>
    <row r="88" spans="1:29" x14ac:dyDescent="0.3">
      <c r="A88" s="134">
        <v>44503</v>
      </c>
      <c r="B88" s="134">
        <v>44743</v>
      </c>
      <c r="C88" s="135">
        <f>NETWORKDAYS(A88,B88-1,Feriados!$A$2:$A$2000)</f>
        <v>166</v>
      </c>
      <c r="D88" s="128">
        <v>11.164999999999999</v>
      </c>
      <c r="E88" s="137">
        <f t="shared" si="29"/>
        <v>-0.15000000000000036</v>
      </c>
      <c r="F88" s="138">
        <f t="shared" si="30"/>
        <v>932.65161000000001</v>
      </c>
      <c r="G88" s="137">
        <f t="shared" si="36"/>
        <v>93265.16</v>
      </c>
      <c r="H88" s="137">
        <f t="shared" si="37"/>
        <v>0.13144343095805588</v>
      </c>
      <c r="I88" s="139">
        <f t="shared" si="38"/>
        <v>0.99509447486383718</v>
      </c>
      <c r="J88" s="134">
        <f t="shared" si="31"/>
        <v>44743</v>
      </c>
      <c r="K88" s="130">
        <v>11.18</v>
      </c>
      <c r="L88" s="137">
        <f t="shared" si="22"/>
        <v>-0.15000000000000036</v>
      </c>
      <c r="M88" s="137">
        <f t="shared" si="23"/>
        <v>93256.87</v>
      </c>
      <c r="N88" s="127">
        <v>7.65</v>
      </c>
      <c r="O88" s="140">
        <f t="shared" si="39"/>
        <v>95.209999999991851</v>
      </c>
      <c r="P88" s="137">
        <f t="shared" si="32"/>
        <v>93256.87</v>
      </c>
      <c r="Q88" s="137">
        <f t="shared" si="44"/>
        <v>0.13148738473780508</v>
      </c>
      <c r="R88" s="139">
        <f t="shared" si="45"/>
        <v>0.99444463638744585</v>
      </c>
      <c r="S88" s="169">
        <f t="shared" si="26"/>
        <v>-1.5000000000000568E-2</v>
      </c>
      <c r="T88" s="157">
        <f t="shared" si="33"/>
        <v>0</v>
      </c>
      <c r="U88" s="137">
        <f t="shared" si="34"/>
        <v>93265.16</v>
      </c>
      <c r="V88" s="137">
        <f t="shared" si="35"/>
        <v>93169.950000000012</v>
      </c>
      <c r="W88" s="137">
        <f t="shared" si="46"/>
        <v>2.9223966271985091E-2</v>
      </c>
      <c r="X88" s="139">
        <f t="shared" si="47"/>
        <v>1.0180548960532567</v>
      </c>
      <c r="AA88" s="128">
        <v>11.164999999999999</v>
      </c>
      <c r="AB88" s="130">
        <v>11.18</v>
      </c>
      <c r="AC88" s="127">
        <v>7.65</v>
      </c>
    </row>
    <row r="89" spans="1:29" x14ac:dyDescent="0.3">
      <c r="A89" s="134">
        <v>44504</v>
      </c>
      <c r="B89" s="134">
        <v>44743</v>
      </c>
      <c r="C89" s="135">
        <f>NETWORKDAYS(A89,B89-1,Feriados!$A$2:$A$2000)</f>
        <v>165</v>
      </c>
      <c r="D89" s="128">
        <v>11.175000000000001</v>
      </c>
      <c r="E89" s="137">
        <f t="shared" si="29"/>
        <v>1.0000000000001563E-2</v>
      </c>
      <c r="F89" s="138">
        <f t="shared" si="30"/>
        <v>932.988474</v>
      </c>
      <c r="G89" s="137">
        <f t="shared" si="36"/>
        <v>93298.85</v>
      </c>
      <c r="H89" s="137">
        <f t="shared" si="37"/>
        <v>3.61228137066405E-2</v>
      </c>
      <c r="I89" s="139">
        <f t="shared" si="38"/>
        <v>0.99545393098719737</v>
      </c>
      <c r="J89" s="134">
        <f t="shared" si="31"/>
        <v>44743</v>
      </c>
      <c r="K89" s="130">
        <v>11.19</v>
      </c>
      <c r="L89" s="137">
        <f t="shared" si="22"/>
        <v>9.9999999999997868E-3</v>
      </c>
      <c r="M89" s="137">
        <f t="shared" si="23"/>
        <v>93290.61</v>
      </c>
      <c r="N89" s="127">
        <v>7.65</v>
      </c>
      <c r="O89" s="140">
        <f t="shared" si="39"/>
        <v>6.4600000000064028</v>
      </c>
      <c r="P89" s="137">
        <f t="shared" si="32"/>
        <v>93290.61</v>
      </c>
      <c r="Q89" s="137">
        <f t="shared" si="44"/>
        <v>3.6179640170219685E-2</v>
      </c>
      <c r="R89" s="139">
        <f t="shared" si="45"/>
        <v>0.99480442287858284</v>
      </c>
      <c r="S89" s="169">
        <f t="shared" si="26"/>
        <v>-1.4999999999998792E-2</v>
      </c>
      <c r="T89" s="157">
        <f t="shared" si="33"/>
        <v>1.7763568394002505E-15</v>
      </c>
      <c r="U89" s="137">
        <f t="shared" si="34"/>
        <v>93298.85</v>
      </c>
      <c r="V89" s="137">
        <f t="shared" si="35"/>
        <v>93292.39</v>
      </c>
      <c r="W89" s="137">
        <f t="shared" si="46"/>
        <v>2.9196325830560532E-2</v>
      </c>
      <c r="X89" s="139">
        <f t="shared" si="47"/>
        <v>1.0183521306778425</v>
      </c>
      <c r="AA89" s="128">
        <v>11.175000000000001</v>
      </c>
      <c r="AB89" s="130">
        <v>11.19</v>
      </c>
      <c r="AC89" s="127">
        <v>7.65</v>
      </c>
    </row>
    <row r="90" spans="1:29" x14ac:dyDescent="0.3">
      <c r="A90" s="134">
        <v>44505</v>
      </c>
      <c r="B90" s="134">
        <v>44743</v>
      </c>
      <c r="C90" s="135">
        <f>NETWORKDAYS(A90,B90-1,Feriados!$A$2:$A$2000)</f>
        <v>164</v>
      </c>
      <c r="D90" s="128">
        <v>11.1005</v>
      </c>
      <c r="E90" s="137">
        <f t="shared" si="29"/>
        <v>-7.4500000000000455E-2</v>
      </c>
      <c r="F90" s="138">
        <f t="shared" si="30"/>
        <v>933.78804300000002</v>
      </c>
      <c r="G90" s="137">
        <f t="shared" si="36"/>
        <v>93378.8</v>
      </c>
      <c r="H90" s="137">
        <f t="shared" si="37"/>
        <v>8.569237455766654E-2</v>
      </c>
      <c r="I90" s="139">
        <f t="shared" si="38"/>
        <v>0.99630695909828793</v>
      </c>
      <c r="J90" s="134">
        <f t="shared" si="31"/>
        <v>44743</v>
      </c>
      <c r="K90" s="130">
        <v>11.115</v>
      </c>
      <c r="L90" s="137">
        <f t="shared" si="22"/>
        <v>-7.4999999999999289E-2</v>
      </c>
      <c r="M90" s="137">
        <f t="shared" si="23"/>
        <v>93370.87</v>
      </c>
      <c r="N90" s="127">
        <v>7.65</v>
      </c>
      <c r="O90" s="140">
        <f t="shared" si="39"/>
        <v>52.970000000001164</v>
      </c>
      <c r="P90" s="137">
        <f t="shared" si="32"/>
        <v>93370.87</v>
      </c>
      <c r="Q90" s="137">
        <f t="shared" si="44"/>
        <v>8.6032238399980088E-2</v>
      </c>
      <c r="R90" s="139">
        <f t="shared" si="45"/>
        <v>0.99566027539128732</v>
      </c>
      <c r="S90" s="169">
        <f t="shared" si="26"/>
        <v>-1.4499999999999957E-2</v>
      </c>
      <c r="T90" s="157">
        <f t="shared" si="33"/>
        <v>4.9999999999883471E-4</v>
      </c>
      <c r="U90" s="137">
        <f t="shared" si="34"/>
        <v>93378.8</v>
      </c>
      <c r="V90" s="137">
        <f t="shared" si="35"/>
        <v>93325.83</v>
      </c>
      <c r="W90" s="137">
        <f t="shared" si="46"/>
        <v>2.8917826961416537E-2</v>
      </c>
      <c r="X90" s="139">
        <f t="shared" si="47"/>
        <v>1.0186466159848497</v>
      </c>
      <c r="AA90" s="128">
        <v>11.1005</v>
      </c>
      <c r="AB90" s="130">
        <v>11.115</v>
      </c>
      <c r="AC90" s="127">
        <v>7.65</v>
      </c>
    </row>
    <row r="91" spans="1:29" x14ac:dyDescent="0.3">
      <c r="A91" s="134">
        <v>44508</v>
      </c>
      <c r="B91" s="134">
        <v>44743</v>
      </c>
      <c r="C91" s="135">
        <f>NETWORKDAYS(A91,B91-1,Feriados!$A$2:$A$2000)</f>
        <v>163</v>
      </c>
      <c r="D91" s="128">
        <v>11.276999999999999</v>
      </c>
      <c r="E91" s="137">
        <f t="shared" si="29"/>
        <v>0.17649999999999899</v>
      </c>
      <c r="F91" s="138">
        <f t="shared" si="30"/>
        <v>933.21949600000005</v>
      </c>
      <c r="G91" s="137">
        <f t="shared" si="36"/>
        <v>93321.95</v>
      </c>
      <c r="H91" s="137">
        <f t="shared" si="37"/>
        <v>-6.0881056513906184E-2</v>
      </c>
      <c r="I91" s="139">
        <f t="shared" si="38"/>
        <v>0.9957003968954673</v>
      </c>
      <c r="J91" s="134">
        <f t="shared" si="31"/>
        <v>44743</v>
      </c>
      <c r="K91" s="130">
        <v>11.29</v>
      </c>
      <c r="L91" s="137">
        <f t="shared" si="22"/>
        <v>0.17499999999999893</v>
      </c>
      <c r="M91" s="137">
        <f t="shared" si="23"/>
        <v>93314.9</v>
      </c>
      <c r="N91" s="127">
        <v>7.65</v>
      </c>
      <c r="O91" s="140">
        <f t="shared" si="39"/>
        <v>-83.290000000008149</v>
      </c>
      <c r="P91" s="137">
        <f t="shared" si="32"/>
        <v>93314.9</v>
      </c>
      <c r="Q91" s="137">
        <f t="shared" si="44"/>
        <v>-5.9943749051494244E-2</v>
      </c>
      <c r="R91" s="139">
        <f t="shared" si="45"/>
        <v>0.99506343929440133</v>
      </c>
      <c r="S91" s="169">
        <f t="shared" si="26"/>
        <v>-1.2999999999999901E-2</v>
      </c>
      <c r="T91" s="157">
        <f t="shared" si="33"/>
        <v>1.5000000000000568E-3</v>
      </c>
      <c r="U91" s="137">
        <f t="shared" si="34"/>
        <v>93321.95</v>
      </c>
      <c r="V91" s="137">
        <f t="shared" si="35"/>
        <v>93405.24</v>
      </c>
      <c r="W91" s="137">
        <f t="shared" si="46"/>
        <v>2.8314778086668824E-2</v>
      </c>
      <c r="X91" s="139">
        <f t="shared" si="47"/>
        <v>1.0189350435136533</v>
      </c>
      <c r="AA91" s="128">
        <v>11.276999999999999</v>
      </c>
      <c r="AB91" s="130">
        <v>11.29</v>
      </c>
      <c r="AC91" s="127">
        <v>7.65</v>
      </c>
    </row>
    <row r="92" spans="1:29" x14ac:dyDescent="0.3">
      <c r="A92" s="134">
        <v>44509</v>
      </c>
      <c r="B92" s="134">
        <v>44743</v>
      </c>
      <c r="C92" s="135">
        <f>NETWORKDAYS(A92,B92-1,Feriados!$A$2:$A$2000)</f>
        <v>162</v>
      </c>
      <c r="D92" s="128">
        <v>11.2277</v>
      </c>
      <c r="E92" s="137">
        <f t="shared" si="29"/>
        <v>-4.9299999999998789E-2</v>
      </c>
      <c r="F92" s="138">
        <f t="shared" si="30"/>
        <v>933.88128099999994</v>
      </c>
      <c r="G92" s="137">
        <f t="shared" si="36"/>
        <v>93388.13</v>
      </c>
      <c r="H92" s="137">
        <f t="shared" si="37"/>
        <v>7.09157920510739E-2</v>
      </c>
      <c r="I92" s="139">
        <f t="shared" si="38"/>
        <v>0.99640650571838141</v>
      </c>
      <c r="J92" s="134">
        <f t="shared" si="31"/>
        <v>44743</v>
      </c>
      <c r="K92" s="130">
        <v>11.24</v>
      </c>
      <c r="L92" s="137">
        <f t="shared" si="22"/>
        <v>-4.9999999999998934E-2</v>
      </c>
      <c r="M92" s="137">
        <f t="shared" si="23"/>
        <v>93381.49</v>
      </c>
      <c r="N92" s="127">
        <v>7.65</v>
      </c>
      <c r="O92" s="140">
        <f t="shared" si="39"/>
        <v>39.290000000008149</v>
      </c>
      <c r="P92" s="137">
        <f t="shared" si="32"/>
        <v>93381.49</v>
      </c>
      <c r="Q92" s="137">
        <f t="shared" si="44"/>
        <v>7.1360522274588334E-2</v>
      </c>
      <c r="R92" s="139">
        <f t="shared" si="45"/>
        <v>0.99577352176164524</v>
      </c>
      <c r="S92" s="169">
        <f t="shared" si="26"/>
        <v>-1.2299999999999756E-2</v>
      </c>
      <c r="T92" s="157">
        <f t="shared" si="33"/>
        <v>7.0000000000014495E-4</v>
      </c>
      <c r="U92" s="137">
        <f t="shared" si="34"/>
        <v>93388.13</v>
      </c>
      <c r="V92" s="137">
        <f t="shared" si="35"/>
        <v>93348.84</v>
      </c>
      <c r="W92" s="137">
        <f t="shared" si="46"/>
        <v>2.881422859253302E-2</v>
      </c>
      <c r="X92" s="139">
        <f t="shared" si="47"/>
        <v>1.0192286417863008</v>
      </c>
      <c r="AA92" s="128">
        <v>11.2277</v>
      </c>
      <c r="AB92" s="130">
        <v>11.24</v>
      </c>
      <c r="AC92" s="127">
        <v>7.65</v>
      </c>
    </row>
    <row r="93" spans="1:29" x14ac:dyDescent="0.3">
      <c r="A93" s="134">
        <v>44510</v>
      </c>
      <c r="B93" s="134">
        <v>44743</v>
      </c>
      <c r="C93" s="135">
        <f>NETWORKDAYS(A93,B93-1,Feriados!$A$2:$A$2000)</f>
        <v>161</v>
      </c>
      <c r="D93" s="128">
        <v>11.275700000000001</v>
      </c>
      <c r="E93" s="137">
        <f t="shared" si="29"/>
        <v>4.8000000000000043E-2</v>
      </c>
      <c r="F93" s="138">
        <f t="shared" si="30"/>
        <v>934.01820499999997</v>
      </c>
      <c r="G93" s="137">
        <f t="shared" si="36"/>
        <v>93401.82</v>
      </c>
      <c r="H93" s="137">
        <f t="shared" si="37"/>
        <v>1.4659250592119477E-2</v>
      </c>
      <c r="I93" s="139">
        <f t="shared" si="38"/>
        <v>0.99655257144497089</v>
      </c>
      <c r="J93" s="134">
        <f t="shared" si="31"/>
        <v>44743</v>
      </c>
      <c r="K93" s="130">
        <v>11.27</v>
      </c>
      <c r="L93" s="137">
        <f t="shared" si="22"/>
        <v>2.9999999999999361E-2</v>
      </c>
      <c r="M93" s="137">
        <f t="shared" si="23"/>
        <v>93404.88</v>
      </c>
      <c r="N93" s="127">
        <v>7.65</v>
      </c>
      <c r="O93" s="140">
        <f t="shared" si="39"/>
        <v>-3.9299999999930151</v>
      </c>
      <c r="P93" s="137">
        <f t="shared" si="32"/>
        <v>93404.88</v>
      </c>
      <c r="Q93" s="137">
        <f t="shared" si="44"/>
        <v>2.5047790520371649E-2</v>
      </c>
      <c r="R93" s="139">
        <f t="shared" si="45"/>
        <v>0.99602294102743338</v>
      </c>
      <c r="S93" s="169">
        <f t="shared" si="26"/>
        <v>5.7000000000009265E-3</v>
      </c>
      <c r="T93" s="157">
        <f t="shared" si="33"/>
        <v>1.8000000000000682E-2</v>
      </c>
      <c r="U93" s="137">
        <f t="shared" si="34"/>
        <v>93401.82</v>
      </c>
      <c r="V93" s="137">
        <f t="shared" si="35"/>
        <v>93405.75</v>
      </c>
      <c r="W93" s="137">
        <f t="shared" si="46"/>
        <v>1.8867494187957412E-2</v>
      </c>
      <c r="X93" s="139">
        <f t="shared" si="47"/>
        <v>1.0194209446910518</v>
      </c>
      <c r="AA93" s="128">
        <v>11.275700000000001</v>
      </c>
      <c r="AB93" s="130">
        <v>11.27</v>
      </c>
      <c r="AC93" s="127">
        <v>7.65</v>
      </c>
    </row>
    <row r="94" spans="1:29" x14ac:dyDescent="0.3">
      <c r="A94" s="134">
        <v>44511</v>
      </c>
      <c r="B94" s="134">
        <v>44743</v>
      </c>
      <c r="C94" s="135">
        <f>NETWORKDAYS(A94,B94-1,Feriados!$A$2:$A$2000)</f>
        <v>160</v>
      </c>
      <c r="D94" s="128">
        <v>11.087199999999999</v>
      </c>
      <c r="E94" s="137">
        <f t="shared" si="29"/>
        <v>-0.18850000000000122</v>
      </c>
      <c r="F94" s="138">
        <f t="shared" si="30"/>
        <v>935.42068900000004</v>
      </c>
      <c r="G94" s="137">
        <f t="shared" si="36"/>
        <v>93542.07</v>
      </c>
      <c r="H94" s="137">
        <f t="shared" si="37"/>
        <v>0.15015767358708132</v>
      </c>
      <c r="I94" s="139">
        <f t="shared" si="38"/>
        <v>0.99804897160232486</v>
      </c>
      <c r="J94" s="134">
        <f t="shared" si="31"/>
        <v>44743</v>
      </c>
      <c r="K94" s="130">
        <v>11.074999999999999</v>
      </c>
      <c r="L94" s="137">
        <f t="shared" si="22"/>
        <v>-0.19500000000000028</v>
      </c>
      <c r="M94" s="137">
        <f t="shared" si="23"/>
        <v>93548.59</v>
      </c>
      <c r="N94" s="127">
        <v>7.65</v>
      </c>
      <c r="O94" s="140">
        <f t="shared" si="39"/>
        <v>116.3799999999901</v>
      </c>
      <c r="P94" s="137">
        <f t="shared" si="32"/>
        <v>93548.59</v>
      </c>
      <c r="Q94" s="137">
        <f t="shared" si="44"/>
        <v>0.15385705757557933</v>
      </c>
      <c r="R94" s="139">
        <f t="shared" si="45"/>
        <v>0.99755539261727599</v>
      </c>
      <c r="S94" s="169">
        <f t="shared" si="26"/>
        <v>1.2199999999999989E-2</v>
      </c>
      <c r="T94" s="157">
        <f t="shared" si="33"/>
        <v>6.4999999999990621E-3</v>
      </c>
      <c r="U94" s="137">
        <f t="shared" si="34"/>
        <v>93542.07</v>
      </c>
      <c r="V94" s="137">
        <f t="shared" si="35"/>
        <v>93425.690000000017</v>
      </c>
      <c r="W94" s="137">
        <f t="shared" si="46"/>
        <v>2.5556247190916537E-2</v>
      </c>
      <c r="X94" s="139">
        <f t="shared" si="47"/>
        <v>1.0196814704275929</v>
      </c>
      <c r="AA94" s="128">
        <v>11.087199999999999</v>
      </c>
      <c r="AB94" s="130">
        <v>11.074999999999999</v>
      </c>
      <c r="AC94" s="127">
        <v>7.65</v>
      </c>
    </row>
    <row r="95" spans="1:29" x14ac:dyDescent="0.3">
      <c r="A95" s="134">
        <v>44512</v>
      </c>
      <c r="B95" s="134">
        <v>44743</v>
      </c>
      <c r="C95" s="135">
        <f>NETWORKDAYS(A95,B95-1,Feriados!$A$2:$A$2000)</f>
        <v>159</v>
      </c>
      <c r="D95" s="128">
        <v>11.129300000000001</v>
      </c>
      <c r="E95" s="137">
        <f t="shared" si="29"/>
        <v>4.2100000000001359E-2</v>
      </c>
      <c r="F95" s="138">
        <f t="shared" si="30"/>
        <v>935.58736699999997</v>
      </c>
      <c r="G95" s="137">
        <f t="shared" si="36"/>
        <v>93558.74</v>
      </c>
      <c r="H95" s="137">
        <f t="shared" si="37"/>
        <v>1.7820858571981901E-2</v>
      </c>
      <c r="I95" s="139">
        <f t="shared" si="38"/>
        <v>0.99822683249803323</v>
      </c>
      <c r="J95" s="134">
        <f t="shared" si="31"/>
        <v>44743</v>
      </c>
      <c r="K95" s="130">
        <v>11.115</v>
      </c>
      <c r="L95" s="137">
        <f t="shared" si="22"/>
        <v>4.0000000000000924E-2</v>
      </c>
      <c r="M95" s="137">
        <f t="shared" si="23"/>
        <v>93566.33</v>
      </c>
      <c r="N95" s="127">
        <v>7.65</v>
      </c>
      <c r="O95" s="140">
        <f t="shared" si="39"/>
        <v>-9.6300000000046566</v>
      </c>
      <c r="P95" s="137">
        <f t="shared" si="32"/>
        <v>93566.33</v>
      </c>
      <c r="Q95" s="137">
        <f t="shared" si="44"/>
        <v>1.8963407144889644E-2</v>
      </c>
      <c r="R95" s="139">
        <f t="shared" si="45"/>
        <v>0.99774456310787385</v>
      </c>
      <c r="S95" s="169">
        <f t="shared" si="26"/>
        <v>1.4300000000000423E-2</v>
      </c>
      <c r="T95" s="157">
        <f t="shared" si="33"/>
        <v>2.1000000000004349E-3</v>
      </c>
      <c r="U95" s="137">
        <f t="shared" si="34"/>
        <v>93558.74</v>
      </c>
      <c r="V95" s="137">
        <f t="shared" si="35"/>
        <v>93568.37000000001</v>
      </c>
      <c r="W95" s="137">
        <f t="shared" si="46"/>
        <v>2.8115691688235245E-2</v>
      </c>
      <c r="X95" s="139">
        <f t="shared" si="47"/>
        <v>1.0199681609260205</v>
      </c>
      <c r="AA95" s="128">
        <v>11.129300000000001</v>
      </c>
      <c r="AB95" s="130">
        <v>11.115</v>
      </c>
      <c r="AC95" s="127">
        <v>7.65</v>
      </c>
    </row>
    <row r="96" spans="1:29" x14ac:dyDescent="0.3">
      <c r="A96" s="134">
        <v>44516</v>
      </c>
      <c r="B96" s="134">
        <v>44743</v>
      </c>
      <c r="C96" s="135">
        <f>NETWORKDAYS(A96,B96-1,Feriados!$A$2:$A$2000)</f>
        <v>158</v>
      </c>
      <c r="D96" s="128">
        <v>11.181699999999999</v>
      </c>
      <c r="E96" s="137">
        <f t="shared" si="29"/>
        <v>5.239999999999867E-2</v>
      </c>
      <c r="F96" s="138">
        <f t="shared" si="30"/>
        <v>935.70261900000003</v>
      </c>
      <c r="G96" s="137">
        <f t="shared" si="36"/>
        <v>93570.26</v>
      </c>
      <c r="H96" s="137">
        <f t="shared" si="37"/>
        <v>1.2313120078344397E-2</v>
      </c>
      <c r="I96" s="139">
        <f t="shared" si="38"/>
        <v>0.99834974536657295</v>
      </c>
      <c r="J96" s="134">
        <f t="shared" si="31"/>
        <v>44743</v>
      </c>
      <c r="K96" s="130">
        <v>11.164999999999999</v>
      </c>
      <c r="L96" s="137">
        <f t="shared" si="22"/>
        <v>4.9999999999998934E-2</v>
      </c>
      <c r="M96" s="137">
        <f t="shared" si="23"/>
        <v>93579.08</v>
      </c>
      <c r="N96" s="127">
        <v>7.65</v>
      </c>
      <c r="O96" s="140">
        <f t="shared" si="39"/>
        <v>-14.619999999995343</v>
      </c>
      <c r="P96" s="137">
        <f t="shared" si="32"/>
        <v>93579.08</v>
      </c>
      <c r="Q96" s="137">
        <f t="shared" si="44"/>
        <v>1.3626696697421892E-2</v>
      </c>
      <c r="R96" s="139">
        <f t="shared" si="45"/>
        <v>0.99788052273330363</v>
      </c>
      <c r="S96" s="169">
        <f t="shared" si="26"/>
        <v>1.6700000000000159E-2</v>
      </c>
      <c r="T96" s="157">
        <f t="shared" si="33"/>
        <v>2.3999999999997357E-3</v>
      </c>
      <c r="U96" s="137">
        <f t="shared" si="34"/>
        <v>93570.26</v>
      </c>
      <c r="V96" s="137">
        <f t="shared" si="35"/>
        <v>93584.87999999999</v>
      </c>
      <c r="W96" s="137">
        <f t="shared" si="46"/>
        <v>2.7939666566667576E-2</v>
      </c>
      <c r="X96" s="139">
        <f t="shared" si="47"/>
        <v>1.0202531366292693</v>
      </c>
      <c r="AA96" s="128">
        <v>11.181699999999999</v>
      </c>
      <c r="AB96" s="130">
        <v>11.164999999999999</v>
      </c>
      <c r="AC96" s="127">
        <v>7.65</v>
      </c>
    </row>
    <row r="97" spans="1:29" x14ac:dyDescent="0.3">
      <c r="A97" s="134">
        <v>44517</v>
      </c>
      <c r="B97" s="134">
        <v>44743</v>
      </c>
      <c r="C97" s="135">
        <f>NETWORKDAYS(A97,B97-1,Feriados!$A$2:$A$2000)</f>
        <v>157</v>
      </c>
      <c r="D97" s="128">
        <v>11.211</v>
      </c>
      <c r="E97" s="137">
        <f t="shared" si="29"/>
        <v>2.9300000000000992E-2</v>
      </c>
      <c r="F97" s="138">
        <f t="shared" si="30"/>
        <v>935.94261400000005</v>
      </c>
      <c r="G97" s="137">
        <f t="shared" si="36"/>
        <v>93594.26</v>
      </c>
      <c r="H97" s="137">
        <f t="shared" si="37"/>
        <v>2.5649175282826953E-2</v>
      </c>
      <c r="I97" s="139">
        <f t="shared" si="38"/>
        <v>0.99860581384269764</v>
      </c>
      <c r="J97" s="134">
        <f t="shared" si="31"/>
        <v>44743</v>
      </c>
      <c r="K97" s="130">
        <v>11.195</v>
      </c>
      <c r="L97" s="137">
        <f t="shared" si="22"/>
        <v>3.0000000000001137E-2</v>
      </c>
      <c r="M97" s="137">
        <f t="shared" si="23"/>
        <v>93602.65</v>
      </c>
      <c r="N97" s="127">
        <v>7.65</v>
      </c>
      <c r="O97" s="140">
        <f t="shared" si="39"/>
        <v>-3.8100000000122236</v>
      </c>
      <c r="P97" s="137">
        <f t="shared" si="32"/>
        <v>93602.65</v>
      </c>
      <c r="Q97" s="137">
        <f t="shared" si="44"/>
        <v>2.5187253390379638E-2</v>
      </c>
      <c r="R97" s="139">
        <f t="shared" si="45"/>
        <v>0.99813186142909771</v>
      </c>
      <c r="S97" s="169">
        <f t="shared" si="26"/>
        <v>1.6000000000000014E-2</v>
      </c>
      <c r="T97" s="157">
        <f t="shared" si="33"/>
        <v>-7.0000000000014495E-4</v>
      </c>
      <c r="U97" s="137">
        <f t="shared" si="34"/>
        <v>93594.26</v>
      </c>
      <c r="V97" s="137">
        <f t="shared" si="35"/>
        <v>93598.07</v>
      </c>
      <c r="W97" s="137">
        <f t="shared" si="46"/>
        <v>2.9720981858982753E-2</v>
      </c>
      <c r="X97" s="139">
        <f t="shared" si="47"/>
        <v>1.0205563658789225</v>
      </c>
      <c r="AA97" s="128">
        <v>11.211</v>
      </c>
      <c r="AB97" s="130">
        <v>11.195</v>
      </c>
      <c r="AC97" s="127">
        <v>7.65</v>
      </c>
    </row>
    <row r="98" spans="1:29" x14ac:dyDescent="0.3">
      <c r="A98" s="134">
        <v>44518</v>
      </c>
      <c r="B98" s="134">
        <v>44743</v>
      </c>
      <c r="C98" s="135">
        <f>NETWORKDAYS(A98,B98-1,Feriados!$A$2:$A$2000)</f>
        <v>156</v>
      </c>
      <c r="D98" s="128">
        <v>11.292400000000001</v>
      </c>
      <c r="E98" s="137">
        <f t="shared" si="29"/>
        <v>8.1400000000000361E-2</v>
      </c>
      <c r="F98" s="138">
        <f t="shared" si="30"/>
        <v>935.91333999999995</v>
      </c>
      <c r="G98" s="137">
        <f t="shared" si="36"/>
        <v>93591.33</v>
      </c>
      <c r="H98" s="137">
        <f t="shared" si="37"/>
        <v>-3.1305338596521182E-3</v>
      </c>
      <c r="I98" s="139">
        <f t="shared" si="38"/>
        <v>0.9985745521495708</v>
      </c>
      <c r="J98" s="134">
        <f t="shared" si="31"/>
        <v>44743</v>
      </c>
      <c r="K98" s="130">
        <v>11.28</v>
      </c>
      <c r="L98" s="137">
        <f t="shared" si="22"/>
        <v>8.4999999999999076E-2</v>
      </c>
      <c r="M98" s="137">
        <f t="shared" si="23"/>
        <v>93597.79</v>
      </c>
      <c r="N98" s="127">
        <v>7.65</v>
      </c>
      <c r="O98" s="140">
        <f t="shared" si="39"/>
        <v>-32.240000000005239</v>
      </c>
      <c r="P98" s="137">
        <f t="shared" si="32"/>
        <v>93597.79</v>
      </c>
      <c r="Q98" s="137">
        <f t="shared" si="44"/>
        <v>-5.1921606920357632E-3</v>
      </c>
      <c r="R98" s="139">
        <f t="shared" si="45"/>
        <v>0.99808003681893387</v>
      </c>
      <c r="S98" s="169">
        <f t="shared" si="26"/>
        <v>1.2400000000001299E-2</v>
      </c>
      <c r="T98" s="157">
        <f t="shared" si="33"/>
        <v>-3.5999999999987153E-3</v>
      </c>
      <c r="U98" s="137">
        <f t="shared" si="34"/>
        <v>93591.33</v>
      </c>
      <c r="V98" s="137">
        <f t="shared" si="35"/>
        <v>93623.57</v>
      </c>
      <c r="W98" s="137">
        <f t="shared" si="46"/>
        <v>3.1316023012539773E-2</v>
      </c>
      <c r="X98" s="139">
        <f t="shared" si="47"/>
        <v>1.0208759635453171</v>
      </c>
      <c r="AA98" s="128">
        <v>11.292400000000001</v>
      </c>
      <c r="AB98" s="130">
        <v>11.28</v>
      </c>
      <c r="AC98" s="127">
        <v>7.65</v>
      </c>
    </row>
    <row r="99" spans="1:29" x14ac:dyDescent="0.3">
      <c r="A99" s="134">
        <v>44519</v>
      </c>
      <c r="B99" s="134">
        <v>44743</v>
      </c>
      <c r="C99" s="135">
        <f>NETWORKDAYS(A99,B99-1,Feriados!$A$2:$A$2000)</f>
        <v>155</v>
      </c>
      <c r="D99" s="128">
        <v>11.25</v>
      </c>
      <c r="E99" s="137">
        <f t="shared" si="29"/>
        <v>-4.2400000000000659E-2</v>
      </c>
      <c r="F99" s="138">
        <f t="shared" si="30"/>
        <v>936.53025700000001</v>
      </c>
      <c r="G99" s="137">
        <f t="shared" si="36"/>
        <v>93653.03</v>
      </c>
      <c r="H99" s="137">
        <f t="shared" si="37"/>
        <v>6.5924909924874875E-2</v>
      </c>
      <c r="I99" s="139">
        <f t="shared" si="38"/>
        <v>0.99923286152360813</v>
      </c>
      <c r="J99" s="134">
        <f t="shared" si="31"/>
        <v>44743</v>
      </c>
      <c r="K99" s="130">
        <v>11.24</v>
      </c>
      <c r="L99" s="137">
        <f t="shared" si="22"/>
        <v>-3.9999999999999147E-2</v>
      </c>
      <c r="M99" s="137">
        <f t="shared" si="23"/>
        <v>93658.2</v>
      </c>
      <c r="N99" s="127">
        <v>7.65</v>
      </c>
      <c r="O99" s="140">
        <f t="shared" si="39"/>
        <v>33.029999999998836</v>
      </c>
      <c r="P99" s="137">
        <f t="shared" si="32"/>
        <v>93658.2</v>
      </c>
      <c r="Q99" s="137">
        <f t="shared" si="44"/>
        <v>6.4542122201816099E-2</v>
      </c>
      <c r="R99" s="139">
        <f t="shared" si="45"/>
        <v>0.99872421885596951</v>
      </c>
      <c r="S99" s="169">
        <f t="shared" si="26"/>
        <v>9.9999999999997868E-3</v>
      </c>
      <c r="T99" s="157">
        <f t="shared" si="33"/>
        <v>-2.400000000001512E-3</v>
      </c>
      <c r="U99" s="137">
        <f t="shared" si="34"/>
        <v>93653.03</v>
      </c>
      <c r="V99" s="137">
        <f t="shared" si="35"/>
        <v>93620</v>
      </c>
      <c r="W99" s="137">
        <f t="shared" si="46"/>
        <v>3.0633179376771125E-2</v>
      </c>
      <c r="X99" s="139">
        <f t="shared" si="47"/>
        <v>1.0211886903104443</v>
      </c>
      <c r="AA99" s="128">
        <v>11.25</v>
      </c>
      <c r="AB99" s="130">
        <v>11.24</v>
      </c>
      <c r="AC99" s="127">
        <v>7.65</v>
      </c>
    </row>
    <row r="100" spans="1:29" x14ac:dyDescent="0.3">
      <c r="A100" s="134">
        <v>44522</v>
      </c>
      <c r="B100" s="134">
        <v>44743</v>
      </c>
      <c r="C100" s="135">
        <f>NETWORKDAYS(A100,B100-1,Feriados!$A$2:$A$2000)</f>
        <v>154</v>
      </c>
      <c r="D100" s="128">
        <v>11.455</v>
      </c>
      <c r="E100" s="137">
        <f t="shared" si="29"/>
        <v>0.20500000000000007</v>
      </c>
      <c r="F100" s="138">
        <f t="shared" si="30"/>
        <v>935.87304200000005</v>
      </c>
      <c r="G100" s="137">
        <f t="shared" si="36"/>
        <v>93587.3</v>
      </c>
      <c r="H100" s="137">
        <f t="shared" si="37"/>
        <v>-7.018459520209408E-2</v>
      </c>
      <c r="I100" s="139">
        <f t="shared" si="38"/>
        <v>0.99853155398462146</v>
      </c>
      <c r="J100" s="134">
        <f t="shared" si="31"/>
        <v>44743</v>
      </c>
      <c r="K100" s="130">
        <v>11.445</v>
      </c>
      <c r="L100" s="137">
        <f t="shared" si="22"/>
        <v>0.20500000000000007</v>
      </c>
      <c r="M100" s="137">
        <f t="shared" si="23"/>
        <v>93592.44</v>
      </c>
      <c r="N100" s="127">
        <v>7.65</v>
      </c>
      <c r="O100" s="140">
        <f t="shared" si="39"/>
        <v>-93.160000000003492</v>
      </c>
      <c r="P100" s="137">
        <f t="shared" si="32"/>
        <v>93592.44</v>
      </c>
      <c r="Q100" s="137">
        <f t="shared" si="44"/>
        <v>-7.0212752327070138E-2</v>
      </c>
      <c r="R100" s="139">
        <f t="shared" si="45"/>
        <v>0.9980229870937537</v>
      </c>
      <c r="S100" s="169">
        <f t="shared" si="26"/>
        <v>9.9999999999997868E-3</v>
      </c>
      <c r="T100" s="157">
        <f t="shared" si="33"/>
        <v>0</v>
      </c>
      <c r="U100" s="137">
        <f t="shared" si="34"/>
        <v>93587.3</v>
      </c>
      <c r="V100" s="137">
        <f t="shared" si="35"/>
        <v>93680.46</v>
      </c>
      <c r="W100" s="137">
        <f t="shared" si="46"/>
        <v>2.9288961606477315E-2</v>
      </c>
      <c r="X100" s="139">
        <f t="shared" si="47"/>
        <v>1.0214877858738791</v>
      </c>
      <c r="AA100" s="128">
        <v>11.455</v>
      </c>
      <c r="AB100" s="130">
        <v>11.445</v>
      </c>
      <c r="AC100" s="127">
        <v>7.65</v>
      </c>
    </row>
    <row r="101" spans="1:29" x14ac:dyDescent="0.3">
      <c r="A101" s="134">
        <v>44523</v>
      </c>
      <c r="B101" s="134">
        <v>44743</v>
      </c>
      <c r="C101" s="135">
        <f>NETWORKDAYS(A101,B101-1,Feriados!$A$2:$A$2000)</f>
        <v>153</v>
      </c>
      <c r="D101" s="128">
        <v>11.435</v>
      </c>
      <c r="E101" s="137">
        <f t="shared" si="29"/>
        <v>-1.9999999999999574E-2</v>
      </c>
      <c r="F101" s="138">
        <f t="shared" si="30"/>
        <v>936.37791200000004</v>
      </c>
      <c r="G101" s="137">
        <f t="shared" si="36"/>
        <v>93637.79</v>
      </c>
      <c r="H101" s="137">
        <f t="shared" si="37"/>
        <v>5.3949627780691678E-2</v>
      </c>
      <c r="I101" s="139">
        <f t="shared" si="38"/>
        <v>0.99907025804126892</v>
      </c>
      <c r="J101" s="134">
        <f t="shared" si="31"/>
        <v>44743</v>
      </c>
      <c r="K101" s="130">
        <v>11.425000000000001</v>
      </c>
      <c r="L101" s="137">
        <f t="shared" si="22"/>
        <v>-1.9999999999999574E-2</v>
      </c>
      <c r="M101" s="137">
        <f t="shared" si="23"/>
        <v>93642.89</v>
      </c>
      <c r="N101" s="127">
        <v>7.65</v>
      </c>
      <c r="O101" s="140">
        <f t="shared" si="39"/>
        <v>23.069999999992433</v>
      </c>
      <c r="P101" s="137">
        <f t="shared" si="32"/>
        <v>93642.89</v>
      </c>
      <c r="Q101" s="137">
        <f t="shared" si="44"/>
        <v>5.3903926428233717E-2</v>
      </c>
      <c r="R101" s="139">
        <f t="shared" si="45"/>
        <v>0.99856096067045352</v>
      </c>
      <c r="S101" s="169">
        <f t="shared" si="26"/>
        <v>9.9999999999997868E-3</v>
      </c>
      <c r="T101" s="157">
        <f t="shared" si="33"/>
        <v>0</v>
      </c>
      <c r="U101" s="137">
        <f t="shared" si="34"/>
        <v>93637.79</v>
      </c>
      <c r="V101" s="137">
        <f t="shared" si="35"/>
        <v>93614.720000000001</v>
      </c>
      <c r="W101" s="137">
        <f t="shared" si="46"/>
        <v>2.9298847172642972E-2</v>
      </c>
      <c r="X101" s="139">
        <f t="shared" si="47"/>
        <v>1.0217870700191496</v>
      </c>
      <c r="AA101" s="128">
        <v>11.435</v>
      </c>
      <c r="AB101" s="130">
        <v>11.425000000000001</v>
      </c>
      <c r="AC101" s="127">
        <v>7.65</v>
      </c>
    </row>
    <row r="102" spans="1:29" x14ac:dyDescent="0.3">
      <c r="A102" s="134">
        <v>44524</v>
      </c>
      <c r="B102" s="134">
        <v>44743</v>
      </c>
      <c r="C102" s="135">
        <f>NETWORKDAYS(A102,B102-1,Feriados!$A$2:$A$2000)</f>
        <v>152</v>
      </c>
      <c r="D102" s="128">
        <v>11.36</v>
      </c>
      <c r="E102" s="137">
        <f t="shared" si="29"/>
        <v>-7.5000000000001066E-2</v>
      </c>
      <c r="F102" s="138">
        <f t="shared" si="30"/>
        <v>937.16081099999997</v>
      </c>
      <c r="G102" s="137">
        <f t="shared" si="36"/>
        <v>93716.08</v>
      </c>
      <c r="H102" s="137">
        <f t="shared" si="37"/>
        <v>8.3609405988771535E-2</v>
      </c>
      <c r="I102" s="139">
        <f t="shared" si="38"/>
        <v>0.99990557474942776</v>
      </c>
      <c r="J102" s="134">
        <f t="shared" si="31"/>
        <v>44743</v>
      </c>
      <c r="K102" s="130">
        <v>11.35</v>
      </c>
      <c r="L102" s="137">
        <f t="shared" si="22"/>
        <v>-7.5000000000001066E-2</v>
      </c>
      <c r="M102" s="137">
        <f t="shared" si="23"/>
        <v>93721.16</v>
      </c>
      <c r="N102" s="127">
        <v>7.65</v>
      </c>
      <c r="O102" s="140">
        <f t="shared" si="39"/>
        <v>50.870000000009895</v>
      </c>
      <c r="P102" s="137">
        <f t="shared" si="32"/>
        <v>93721.16</v>
      </c>
      <c r="Q102" s="137">
        <f t="shared" si="44"/>
        <v>8.3583494699923655E-2</v>
      </c>
      <c r="R102" s="139">
        <f t="shared" si="45"/>
        <v>0.99939559281809098</v>
      </c>
      <c r="S102" s="169">
        <f t="shared" si="26"/>
        <v>9.9999999999997868E-3</v>
      </c>
      <c r="T102" s="157">
        <f t="shared" si="33"/>
        <v>0</v>
      </c>
      <c r="U102" s="137">
        <f t="shared" si="34"/>
        <v>93716.08</v>
      </c>
      <c r="V102" s="137">
        <f t="shared" si="35"/>
        <v>93665.209999999992</v>
      </c>
      <c r="W102" s="137">
        <f t="shared" si="46"/>
        <v>2.928304907665602E-2</v>
      </c>
      <c r="X102" s="139">
        <f t="shared" si="47"/>
        <v>1.0220862804283222</v>
      </c>
      <c r="AA102" s="128">
        <v>11.36</v>
      </c>
      <c r="AB102" s="130">
        <v>11.35</v>
      </c>
      <c r="AC102" s="127">
        <v>7.65</v>
      </c>
    </row>
    <row r="103" spans="1:29" x14ac:dyDescent="0.3">
      <c r="A103" s="134">
        <v>44525</v>
      </c>
      <c r="B103" s="134">
        <v>44743</v>
      </c>
      <c r="C103" s="135">
        <f>NETWORKDAYS(A103,B103-1,Feriados!$A$2:$A$2000)</f>
        <v>151</v>
      </c>
      <c r="D103" s="128">
        <v>11.3139</v>
      </c>
      <c r="E103" s="137">
        <f t="shared" si="29"/>
        <v>-4.6099999999999142E-2</v>
      </c>
      <c r="F103" s="138">
        <f t="shared" si="30"/>
        <v>937.79368599999998</v>
      </c>
      <c r="G103" s="137">
        <f t="shared" si="36"/>
        <v>93779.37</v>
      </c>
      <c r="H103" s="137">
        <f t="shared" si="37"/>
        <v>6.7533767951011292E-2</v>
      </c>
      <c r="I103" s="139">
        <f t="shared" si="38"/>
        <v>1.0005808486600083</v>
      </c>
      <c r="J103" s="134">
        <f t="shared" si="31"/>
        <v>44743</v>
      </c>
      <c r="K103" s="130">
        <v>11.305</v>
      </c>
      <c r="L103" s="137">
        <f t="shared" si="22"/>
        <v>-4.4999999999999929E-2</v>
      </c>
      <c r="M103" s="137">
        <f t="shared" si="23"/>
        <v>93783.86</v>
      </c>
      <c r="N103" s="127">
        <v>7.65</v>
      </c>
      <c r="O103" s="140">
        <f t="shared" si="39"/>
        <v>35.279999999998836</v>
      </c>
      <c r="P103" s="137">
        <f t="shared" si="32"/>
        <v>93783.86</v>
      </c>
      <c r="Q103" s="137">
        <f t="shared" si="44"/>
        <v>6.6900580402551313E-2</v>
      </c>
      <c r="R103" s="139">
        <f t="shared" si="45"/>
        <v>1.0000641942702038</v>
      </c>
      <c r="S103" s="169">
        <f t="shared" si="26"/>
        <v>8.9000000000005741E-3</v>
      </c>
      <c r="T103" s="157">
        <f t="shared" si="33"/>
        <v>-1.0999999999992127E-3</v>
      </c>
      <c r="U103" s="137">
        <f t="shared" si="34"/>
        <v>93779.37</v>
      </c>
      <c r="V103" s="137">
        <f t="shared" si="35"/>
        <v>93744.09</v>
      </c>
      <c r="W103" s="137">
        <f t="shared" si="46"/>
        <v>2.9888147263523734E-2</v>
      </c>
      <c r="X103" s="139">
        <f t="shared" si="47"/>
        <v>1.0223917630809769</v>
      </c>
      <c r="AA103" s="128">
        <v>11.3139</v>
      </c>
      <c r="AB103" s="130">
        <v>11.305</v>
      </c>
      <c r="AC103" s="127">
        <v>7.65</v>
      </c>
    </row>
    <row r="104" spans="1:29" x14ac:dyDescent="0.3">
      <c r="A104" s="134">
        <v>44526</v>
      </c>
      <c r="B104" s="134">
        <v>44743</v>
      </c>
      <c r="C104" s="135">
        <f>NETWORKDAYS(A104,B104-1,Feriados!$A$2:$A$2000)</f>
        <v>150</v>
      </c>
      <c r="D104" s="128">
        <v>11.1031</v>
      </c>
      <c r="E104" s="137">
        <f t="shared" si="29"/>
        <v>-0.21080000000000076</v>
      </c>
      <c r="F104" s="138">
        <f t="shared" si="30"/>
        <v>939.251803</v>
      </c>
      <c r="G104" s="137">
        <f t="shared" si="36"/>
        <v>93925.18</v>
      </c>
      <c r="H104" s="137">
        <f t="shared" si="37"/>
        <v>0.15548195727907999</v>
      </c>
      <c r="I104" s="139">
        <f t="shared" si="38"/>
        <v>1.0021365713476644</v>
      </c>
      <c r="J104" s="134">
        <f t="shared" si="31"/>
        <v>44743</v>
      </c>
      <c r="K104" s="130">
        <v>11.1</v>
      </c>
      <c r="L104" s="137">
        <f t="shared" si="22"/>
        <v>-0.20500000000000007</v>
      </c>
      <c r="M104" s="137">
        <f t="shared" si="23"/>
        <v>93926.74</v>
      </c>
      <c r="N104" s="127">
        <v>7.65</v>
      </c>
      <c r="O104" s="140">
        <f t="shared" si="39"/>
        <v>115.44000000000233</v>
      </c>
      <c r="P104" s="137">
        <f t="shared" si="32"/>
        <v>93926.74</v>
      </c>
      <c r="Q104" s="137">
        <f t="shared" si="44"/>
        <v>0.1523503084645883</v>
      </c>
      <c r="R104" s="139">
        <f t="shared" si="45"/>
        <v>1.0015877951550183</v>
      </c>
      <c r="S104" s="169">
        <f t="shared" si="26"/>
        <v>3.0999999999998806E-3</v>
      </c>
      <c r="T104" s="157">
        <f t="shared" si="33"/>
        <v>-5.8000000000006935E-3</v>
      </c>
      <c r="U104" s="137">
        <f t="shared" si="34"/>
        <v>93925.18</v>
      </c>
      <c r="V104" s="137">
        <f t="shared" si="35"/>
        <v>93809.739999999991</v>
      </c>
      <c r="W104" s="137">
        <f t="shared" si="46"/>
        <v>3.2384521243855602E-2</v>
      </c>
      <c r="X104" s="139">
        <f t="shared" si="47"/>
        <v>1.0227228597586873</v>
      </c>
      <c r="AA104" s="128">
        <v>11.1031</v>
      </c>
      <c r="AB104" s="130">
        <v>11.1</v>
      </c>
      <c r="AC104" s="127">
        <v>7.65</v>
      </c>
    </row>
    <row r="105" spans="1:29" x14ac:dyDescent="0.3">
      <c r="A105" s="134">
        <v>44529</v>
      </c>
      <c r="B105" s="134">
        <v>44743</v>
      </c>
      <c r="C105" s="135">
        <f>NETWORKDAYS(A105,B105-1,Feriados!$A$2:$A$2000)</f>
        <v>149</v>
      </c>
      <c r="D105" s="128">
        <v>11.093500000000001</v>
      </c>
      <c r="E105" s="137">
        <f t="shared" si="29"/>
        <v>-9.5999999999989427E-3</v>
      </c>
      <c r="F105" s="138">
        <f t="shared" si="30"/>
        <v>939.69232399999999</v>
      </c>
      <c r="G105" s="137">
        <f t="shared" si="36"/>
        <v>93969.23</v>
      </c>
      <c r="H105" s="137">
        <f t="shared" si="37"/>
        <v>4.6899031761249432E-2</v>
      </c>
      <c r="I105" s="139">
        <f t="shared" si="38"/>
        <v>1.0026065636965518</v>
      </c>
      <c r="J105" s="134">
        <f t="shared" si="31"/>
        <v>44743</v>
      </c>
      <c r="K105" s="130">
        <v>11.09</v>
      </c>
      <c r="L105" s="137">
        <f t="shared" si="22"/>
        <v>-9.9999999999997868E-3</v>
      </c>
      <c r="M105" s="137">
        <f t="shared" si="23"/>
        <v>93970.98</v>
      </c>
      <c r="N105" s="127">
        <v>7.65</v>
      </c>
      <c r="O105" s="140">
        <f t="shared" si="39"/>
        <v>16.759999999994761</v>
      </c>
      <c r="P105" s="137">
        <f t="shared" si="32"/>
        <v>93970.98</v>
      </c>
      <c r="Q105" s="137">
        <f t="shared" si="44"/>
        <v>4.7100538142808013E-2</v>
      </c>
      <c r="R105" s="139">
        <f t="shared" si="45"/>
        <v>1.0020595483965089</v>
      </c>
      <c r="S105" s="169">
        <f t="shared" si="26"/>
        <v>3.5000000000007248E-3</v>
      </c>
      <c r="T105" s="157">
        <f t="shared" si="33"/>
        <v>4.0000000000084412E-4</v>
      </c>
      <c r="U105" s="137">
        <f t="shared" si="34"/>
        <v>93969.23</v>
      </c>
      <c r="V105" s="137">
        <f t="shared" si="35"/>
        <v>93952.47</v>
      </c>
      <c r="W105" s="137">
        <f t="shared" si="46"/>
        <v>2.9055041470260612E-2</v>
      </c>
      <c r="X105" s="139">
        <f t="shared" si="47"/>
        <v>1.023020012309716</v>
      </c>
      <c r="AA105" s="128">
        <v>11.093500000000001</v>
      </c>
      <c r="AB105" s="130">
        <v>11.09</v>
      </c>
      <c r="AC105" s="127">
        <v>7.65</v>
      </c>
    </row>
    <row r="106" spans="1:29" x14ac:dyDescent="0.3">
      <c r="A106" s="134">
        <v>44530</v>
      </c>
      <c r="B106" s="134">
        <v>44743</v>
      </c>
      <c r="C106" s="135">
        <f>NETWORKDAYS(A106,B106-1,Feriados!$A$2:$A$2000)</f>
        <v>148</v>
      </c>
      <c r="D106" s="128">
        <v>11.1516</v>
      </c>
      <c r="E106" s="137">
        <f t="shared" si="29"/>
        <v>5.8099999999999596E-2</v>
      </c>
      <c r="F106" s="138">
        <f t="shared" si="30"/>
        <v>939.79607199999998</v>
      </c>
      <c r="G106" s="137">
        <f t="shared" si="36"/>
        <v>93979.61</v>
      </c>
      <c r="H106" s="137">
        <f t="shared" si="37"/>
        <v>1.1046169049166998E-2</v>
      </c>
      <c r="I106" s="139">
        <f t="shared" si="38"/>
        <v>1.0027173133124758</v>
      </c>
      <c r="J106" s="134">
        <f t="shared" si="31"/>
        <v>44743</v>
      </c>
      <c r="K106" s="130">
        <v>11.15</v>
      </c>
      <c r="L106" s="137">
        <f t="shared" si="22"/>
        <v>6.0000000000000497E-2</v>
      </c>
      <c r="M106" s="137">
        <f t="shared" si="23"/>
        <v>93980.4</v>
      </c>
      <c r="N106" s="127">
        <v>7.65</v>
      </c>
      <c r="O106" s="140">
        <f t="shared" si="39"/>
        <v>-18.070000000006985</v>
      </c>
      <c r="P106" s="137">
        <f t="shared" si="32"/>
        <v>93980.4</v>
      </c>
      <c r="Q106" s="137">
        <f t="shared" si="44"/>
        <v>1.0024371353800632E-2</v>
      </c>
      <c r="R106" s="139">
        <f t="shared" si="45"/>
        <v>1.0021599985668264</v>
      </c>
      <c r="S106" s="169">
        <f t="shared" si="26"/>
        <v>1.5999999999998238E-3</v>
      </c>
      <c r="T106" s="157">
        <f t="shared" si="33"/>
        <v>-1.900000000000901E-3</v>
      </c>
      <c r="U106" s="137">
        <f t="shared" si="34"/>
        <v>93979.61</v>
      </c>
      <c r="V106" s="137">
        <f t="shared" si="35"/>
        <v>93997.680000000008</v>
      </c>
      <c r="W106" s="137">
        <f t="shared" si="46"/>
        <v>3.0275867962314962E-2</v>
      </c>
      <c r="X106" s="139">
        <f t="shared" si="47"/>
        <v>1.023329740497871</v>
      </c>
      <c r="AA106" s="128">
        <v>11.1516</v>
      </c>
      <c r="AB106" s="130">
        <v>11.15</v>
      </c>
      <c r="AC106" s="127">
        <v>7.65</v>
      </c>
    </row>
    <row r="107" spans="1:29" x14ac:dyDescent="0.3">
      <c r="A107" s="134">
        <v>44531</v>
      </c>
      <c r="B107" s="134">
        <v>44743</v>
      </c>
      <c r="C107" s="135">
        <f>NETWORKDAYS(A107,B107-1,Feriados!$A$2:$A$2000)</f>
        <v>147</v>
      </c>
      <c r="D107" s="128">
        <v>11.0702</v>
      </c>
      <c r="E107" s="137">
        <f t="shared" si="29"/>
        <v>-8.1400000000000361E-2</v>
      </c>
      <c r="F107" s="138">
        <f t="shared" si="30"/>
        <v>940.59231599999998</v>
      </c>
      <c r="G107" s="137">
        <f t="shared" si="36"/>
        <v>94059.23</v>
      </c>
      <c r="H107" s="137">
        <f t="shared" si="37"/>
        <v>8.4720504798863061E-2</v>
      </c>
      <c r="I107" s="139">
        <f t="shared" si="38"/>
        <v>1.0035668204820198</v>
      </c>
      <c r="J107" s="134">
        <f t="shared" si="31"/>
        <v>44743</v>
      </c>
      <c r="K107" s="130">
        <v>11.074999999999999</v>
      </c>
      <c r="L107" s="137">
        <f t="shared" si="22"/>
        <v>-7.5000000000001066E-2</v>
      </c>
      <c r="M107" s="137">
        <f t="shared" si="23"/>
        <v>94056.86</v>
      </c>
      <c r="N107" s="127">
        <v>7.65</v>
      </c>
      <c r="O107" s="140">
        <f t="shared" si="39"/>
        <v>48.960000000006403</v>
      </c>
      <c r="P107" s="137">
        <f t="shared" si="32"/>
        <v>94056.86</v>
      </c>
      <c r="Q107" s="137">
        <f t="shared" si="44"/>
        <v>8.1357389413128089E-2</v>
      </c>
      <c r="R107" s="139">
        <f t="shared" si="45"/>
        <v>1.0029753297794031</v>
      </c>
      <c r="S107" s="169">
        <f t="shared" si="26"/>
        <v>-4.7999999999994714E-3</v>
      </c>
      <c r="T107" s="157">
        <f t="shared" si="33"/>
        <v>-6.3999999999992951E-3</v>
      </c>
      <c r="U107" s="137">
        <f t="shared" si="34"/>
        <v>94059.23</v>
      </c>
      <c r="V107" s="137">
        <f t="shared" si="35"/>
        <v>94010.26999999999</v>
      </c>
      <c r="W107" s="137">
        <f t="shared" si="46"/>
        <v>3.2624097929323526E-2</v>
      </c>
      <c r="X107" s="139">
        <f t="shared" si="47"/>
        <v>1.023663592594551</v>
      </c>
      <c r="AA107" s="128">
        <v>11.0702</v>
      </c>
      <c r="AB107" s="130">
        <v>11.074999999999999</v>
      </c>
      <c r="AC107" s="127">
        <v>7.65</v>
      </c>
    </row>
    <row r="108" spans="1:29" x14ac:dyDescent="0.3">
      <c r="A108" s="134">
        <v>44532</v>
      </c>
      <c r="B108" s="134">
        <v>44743</v>
      </c>
      <c r="C108" s="135">
        <f>NETWORKDAYS(A108,B108-1,Feriados!$A$2:$A$2000)</f>
        <v>146</v>
      </c>
      <c r="D108" s="128">
        <v>10.986499999999999</v>
      </c>
      <c r="E108" s="137">
        <f t="shared" si="29"/>
        <v>-8.370000000000033E-2</v>
      </c>
      <c r="F108" s="138">
        <f t="shared" si="30"/>
        <v>941.39535799999999</v>
      </c>
      <c r="G108" s="137">
        <f t="shared" si="36"/>
        <v>94139.54</v>
      </c>
      <c r="H108" s="137">
        <f t="shared" si="37"/>
        <v>8.5382370236275484E-2</v>
      </c>
      <c r="I108" s="139">
        <f t="shared" si="38"/>
        <v>1.0044236896202523</v>
      </c>
      <c r="J108" s="134">
        <f t="shared" si="31"/>
        <v>44743</v>
      </c>
      <c r="K108" s="130">
        <v>10.994999999999999</v>
      </c>
      <c r="L108" s="137">
        <f t="shared" si="22"/>
        <v>-8.0000000000000071E-2</v>
      </c>
      <c r="M108" s="137">
        <f t="shared" si="23"/>
        <v>94135.360000000001</v>
      </c>
      <c r="N108" s="127">
        <v>7.65</v>
      </c>
      <c r="O108" s="140">
        <f t="shared" si="39"/>
        <v>50.979999999995925</v>
      </c>
      <c r="P108" s="137">
        <f t="shared" si="32"/>
        <v>94135.360000000001</v>
      </c>
      <c r="Q108" s="137">
        <f t="shared" si="44"/>
        <v>8.3460153783576629E-2</v>
      </c>
      <c r="R108" s="139">
        <f t="shared" si="45"/>
        <v>1.0038124145320484</v>
      </c>
      <c r="S108" s="169">
        <f t="shared" si="26"/>
        <v>-8.49999999999973E-3</v>
      </c>
      <c r="T108" s="157">
        <f t="shared" si="33"/>
        <v>-3.7000000000002586E-3</v>
      </c>
      <c r="U108" s="137">
        <f t="shared" si="34"/>
        <v>94139.54</v>
      </c>
      <c r="V108" s="137">
        <f t="shared" si="35"/>
        <v>94088.56</v>
      </c>
      <c r="W108" s="137">
        <f t="shared" si="46"/>
        <v>3.1182479380276185E-2</v>
      </c>
      <c r="X108" s="139">
        <f t="shared" si="47"/>
        <v>1.0239827962832351</v>
      </c>
      <c r="AA108" s="128">
        <v>10.986499999999999</v>
      </c>
      <c r="AB108" s="130">
        <v>10.994999999999999</v>
      </c>
      <c r="AC108" s="127">
        <v>7.65</v>
      </c>
    </row>
    <row r="109" spans="1:29" x14ac:dyDescent="0.3">
      <c r="A109" s="134">
        <v>44533</v>
      </c>
      <c r="B109" s="134">
        <v>44743</v>
      </c>
      <c r="C109" s="135">
        <f>NETWORKDAYS(A109,B109-1,Feriados!$A$2:$A$2000)</f>
        <v>145</v>
      </c>
      <c r="D109" s="128">
        <v>10.869899999999999</v>
      </c>
      <c r="E109" s="137">
        <f t="shared" si="29"/>
        <v>-0.11660000000000004</v>
      </c>
      <c r="F109" s="138">
        <f t="shared" si="30"/>
        <v>942.35462099999995</v>
      </c>
      <c r="G109" s="137">
        <f t="shared" si="36"/>
        <v>94235.46</v>
      </c>
      <c r="H109" s="137">
        <f t="shared" si="37"/>
        <v>0.10189129881026382</v>
      </c>
      <c r="I109" s="139">
        <f t="shared" si="38"/>
        <v>1.0054471099631643</v>
      </c>
      <c r="J109" s="134">
        <f t="shared" si="31"/>
        <v>44743</v>
      </c>
      <c r="K109" s="130">
        <v>10.88</v>
      </c>
      <c r="L109" s="137">
        <f t="shared" si="22"/>
        <v>-0.11499999999999844</v>
      </c>
      <c r="M109" s="137">
        <f t="shared" si="23"/>
        <v>94230.52</v>
      </c>
      <c r="N109" s="127">
        <v>7.65</v>
      </c>
      <c r="O109" s="140">
        <f t="shared" si="39"/>
        <v>67.620000000009895</v>
      </c>
      <c r="P109" s="137">
        <f t="shared" si="32"/>
        <v>94230.52</v>
      </c>
      <c r="Q109" s="137">
        <f t="shared" si="44"/>
        <v>0.10108847514898045</v>
      </c>
      <c r="R109" s="139">
        <f t="shared" si="45"/>
        <v>1.0048271531952551</v>
      </c>
      <c r="S109" s="169">
        <f t="shared" si="26"/>
        <v>-1.010000000000133E-2</v>
      </c>
      <c r="T109" s="157">
        <f t="shared" si="33"/>
        <v>-1.6000000000016001E-3</v>
      </c>
      <c r="U109" s="137">
        <f t="shared" si="34"/>
        <v>94235.46</v>
      </c>
      <c r="V109" s="137">
        <f t="shared" si="35"/>
        <v>94167.84</v>
      </c>
      <c r="W109" s="137">
        <f t="shared" si="46"/>
        <v>3.0061757259502997E-2</v>
      </c>
      <c r="X109" s="139">
        <f t="shared" si="47"/>
        <v>1.0242906235058329</v>
      </c>
      <c r="AA109" s="128">
        <v>10.869899999999999</v>
      </c>
      <c r="AB109" s="130">
        <v>10.88</v>
      </c>
      <c r="AC109" s="127">
        <v>7.65</v>
      </c>
    </row>
    <row r="110" spans="1:29" x14ac:dyDescent="0.3">
      <c r="A110" s="134">
        <v>44536</v>
      </c>
      <c r="B110" s="134">
        <v>44743</v>
      </c>
      <c r="C110" s="135">
        <f>NETWORKDAYS(A110,B110-1,Feriados!$A$2:$A$2000)</f>
        <v>144</v>
      </c>
      <c r="D110" s="128">
        <v>10.958299999999999</v>
      </c>
      <c r="E110" s="137">
        <f t="shared" si="29"/>
        <v>8.8400000000000034E-2</v>
      </c>
      <c r="F110" s="138">
        <f t="shared" si="30"/>
        <v>942.31130900000005</v>
      </c>
      <c r="G110" s="137">
        <f t="shared" si="36"/>
        <v>94231.13</v>
      </c>
      <c r="H110" s="137">
        <f t="shared" si="37"/>
        <v>-4.5948733099043793E-3</v>
      </c>
      <c r="I110" s="139">
        <f t="shared" si="38"/>
        <v>1.0054009109422635</v>
      </c>
      <c r="J110" s="134">
        <f t="shared" si="31"/>
        <v>44743</v>
      </c>
      <c r="K110" s="130">
        <v>10.984999999999999</v>
      </c>
      <c r="L110" s="137">
        <f t="shared" si="22"/>
        <v>0.10499999999999865</v>
      </c>
      <c r="M110" s="137">
        <f t="shared" si="23"/>
        <v>94218.18</v>
      </c>
      <c r="N110" s="127">
        <v>7.65</v>
      </c>
      <c r="O110" s="140">
        <f t="shared" si="39"/>
        <v>-39.910000000003492</v>
      </c>
      <c r="P110" s="137">
        <f t="shared" si="32"/>
        <v>94218.18</v>
      </c>
      <c r="Q110" s="137">
        <f t="shared" si="44"/>
        <v>-1.3095544840469042E-2</v>
      </c>
      <c r="R110" s="139">
        <f t="shared" si="45"/>
        <v>1.0046955656048391</v>
      </c>
      <c r="S110" s="169">
        <f t="shared" si="26"/>
        <v>-2.6699999999999946E-2</v>
      </c>
      <c r="T110" s="157">
        <f t="shared" si="33"/>
        <v>-1.6599999999998616E-2</v>
      </c>
      <c r="U110" s="137">
        <f t="shared" si="34"/>
        <v>94231.13</v>
      </c>
      <c r="V110" s="137">
        <f t="shared" si="35"/>
        <v>94271.040000000008</v>
      </c>
      <c r="W110" s="137">
        <f t="shared" si="46"/>
        <v>3.775648784438701E-2</v>
      </c>
      <c r="X110" s="139">
        <f t="shared" si="47"/>
        <v>1.024677359670588</v>
      </c>
      <c r="AA110" s="128">
        <v>10.958299999999999</v>
      </c>
      <c r="AB110" s="130">
        <v>10.984999999999999</v>
      </c>
      <c r="AC110" s="127">
        <v>7.65</v>
      </c>
    </row>
    <row r="111" spans="1:29" x14ac:dyDescent="0.3">
      <c r="A111" s="134">
        <v>44537</v>
      </c>
      <c r="B111" s="134">
        <v>44743</v>
      </c>
      <c r="C111" s="135">
        <f>NETWORKDAYS(A111,B111-1,Feriados!$A$2:$A$2000)</f>
        <v>143</v>
      </c>
      <c r="D111" s="128">
        <v>10.966699999999999</v>
      </c>
      <c r="E111" s="137">
        <f t="shared" si="29"/>
        <v>8.3999999999999631E-3</v>
      </c>
      <c r="F111" s="138">
        <f t="shared" si="30"/>
        <v>942.65972499999998</v>
      </c>
      <c r="G111" s="137">
        <f t="shared" si="36"/>
        <v>94265.97</v>
      </c>
      <c r="H111" s="137">
        <f t="shared" si="37"/>
        <v>3.69729196710189E-2</v>
      </c>
      <c r="I111" s="139">
        <f t="shared" si="38"/>
        <v>1.0057726370134379</v>
      </c>
      <c r="J111" s="134">
        <f t="shared" si="31"/>
        <v>44743</v>
      </c>
      <c r="K111" s="130">
        <v>10.994999999999999</v>
      </c>
      <c r="L111" s="137">
        <f t="shared" si="22"/>
        <v>9.9999999999997868E-3</v>
      </c>
      <c r="M111" s="137">
        <f t="shared" si="23"/>
        <v>94252.33</v>
      </c>
      <c r="N111" s="127">
        <v>7.65</v>
      </c>
      <c r="O111" s="140">
        <f t="shared" si="39"/>
        <v>6.5899999999965075</v>
      </c>
      <c r="P111" s="137">
        <f t="shared" si="32"/>
        <v>94252.33</v>
      </c>
      <c r="Q111" s="137">
        <f t="shared" si="44"/>
        <v>3.6245658746558718E-2</v>
      </c>
      <c r="R111" s="139">
        <f t="shared" si="45"/>
        <v>1.00505972413099</v>
      </c>
      <c r="S111" s="169">
        <f t="shared" si="26"/>
        <v>-2.829999999999977E-2</v>
      </c>
      <c r="T111" s="157">
        <f t="shared" si="33"/>
        <v>-1.5999999999998238E-3</v>
      </c>
      <c r="U111" s="137">
        <f t="shared" si="34"/>
        <v>94265.97</v>
      </c>
      <c r="V111" s="137">
        <f t="shared" si="35"/>
        <v>94259.38</v>
      </c>
      <c r="W111" s="137">
        <f t="shared" si="46"/>
        <v>2.9979477058161841E-2</v>
      </c>
      <c r="X111" s="139">
        <f t="shared" si="47"/>
        <v>1.0249845525845507</v>
      </c>
      <c r="AA111" s="128">
        <v>10.966699999999999</v>
      </c>
      <c r="AB111" s="130">
        <v>10.994999999999999</v>
      </c>
      <c r="AC111" s="127">
        <v>7.65</v>
      </c>
    </row>
    <row r="112" spans="1:29" x14ac:dyDescent="0.3">
      <c r="A112" s="134">
        <v>44538</v>
      </c>
      <c r="B112" s="134">
        <v>44743</v>
      </c>
      <c r="C112" s="135">
        <f>NETWORKDAYS(A112,B112-1,Feriados!$A$2:$A$2000)</f>
        <v>142</v>
      </c>
      <c r="D112" s="128">
        <v>10.8911</v>
      </c>
      <c r="E112" s="137">
        <f t="shared" si="29"/>
        <v>-7.5599999999999667E-2</v>
      </c>
      <c r="F112" s="138">
        <f t="shared" si="30"/>
        <v>943.411293</v>
      </c>
      <c r="G112" s="137">
        <f t="shared" si="36"/>
        <v>94341.13</v>
      </c>
      <c r="H112" s="137">
        <f t="shared" si="37"/>
        <v>7.9731848088981927E-2</v>
      </c>
      <c r="I112" s="139">
        <f t="shared" si="38"/>
        <v>1.006574558124502</v>
      </c>
      <c r="J112" s="134">
        <f t="shared" si="31"/>
        <v>44743</v>
      </c>
      <c r="K112" s="130">
        <v>10.92</v>
      </c>
      <c r="L112" s="137">
        <f t="shared" si="22"/>
        <v>-7.4999999999999289E-2</v>
      </c>
      <c r="M112" s="137">
        <f t="shared" si="23"/>
        <v>94327.28</v>
      </c>
      <c r="N112" s="127">
        <v>7.65</v>
      </c>
      <c r="O112" s="140">
        <f t="shared" si="39"/>
        <v>47.380000000004657</v>
      </c>
      <c r="P112" s="137">
        <f t="shared" si="32"/>
        <v>94327.28</v>
      </c>
      <c r="Q112" s="137">
        <f t="shared" si="44"/>
        <v>7.9520580552228104E-2</v>
      </c>
      <c r="R112" s="139">
        <f t="shared" si="45"/>
        <v>1.0058589534585156</v>
      </c>
      <c r="S112" s="169">
        <f t="shared" si="26"/>
        <v>-2.8900000000000148E-2</v>
      </c>
      <c r="T112" s="157">
        <f t="shared" si="33"/>
        <v>-6.0000000000037801E-4</v>
      </c>
      <c r="U112" s="137">
        <f t="shared" si="34"/>
        <v>94341.13</v>
      </c>
      <c r="V112" s="137">
        <f t="shared" si="35"/>
        <v>94293.75</v>
      </c>
      <c r="W112" s="137">
        <f t="shared" si="46"/>
        <v>2.9469807609250331E-2</v>
      </c>
      <c r="X112" s="139">
        <f t="shared" si="47"/>
        <v>1.0252866135602219</v>
      </c>
      <c r="AA112" s="128">
        <v>10.8911</v>
      </c>
      <c r="AB112" s="130">
        <v>10.92</v>
      </c>
      <c r="AC112" s="127">
        <v>7.65</v>
      </c>
    </row>
    <row r="113" spans="1:29" x14ac:dyDescent="0.3">
      <c r="A113" s="134">
        <v>44539</v>
      </c>
      <c r="B113" s="134">
        <v>44743</v>
      </c>
      <c r="C113" s="135">
        <f>NETWORKDAYS(A113,B113-1,Feriados!$A$2:$A$2000)</f>
        <v>141</v>
      </c>
      <c r="D113" s="128">
        <v>11.037100000000001</v>
      </c>
      <c r="E113" s="137">
        <f t="shared" si="29"/>
        <v>0.1460000000000008</v>
      </c>
      <c r="F113" s="138">
        <f t="shared" si="30"/>
        <v>943.10383200000001</v>
      </c>
      <c r="G113" s="137">
        <f t="shared" si="36"/>
        <v>94310.38</v>
      </c>
      <c r="H113" s="137">
        <f t="shared" si="37"/>
        <v>-3.2594479205416693E-2</v>
      </c>
      <c r="I113" s="139">
        <f t="shared" si="38"/>
        <v>1.0062464703894671</v>
      </c>
      <c r="J113" s="134">
        <f t="shared" si="31"/>
        <v>44743</v>
      </c>
      <c r="K113" s="130">
        <v>11.065</v>
      </c>
      <c r="L113" s="137">
        <f t="shared" si="22"/>
        <v>0.14499999999999957</v>
      </c>
      <c r="M113" s="137">
        <f t="shared" si="23"/>
        <v>94297.13</v>
      </c>
      <c r="N113" s="127">
        <v>7.65</v>
      </c>
      <c r="O113" s="140">
        <f t="shared" si="39"/>
        <v>-57.75</v>
      </c>
      <c r="P113" s="137">
        <f t="shared" si="32"/>
        <v>94297.13</v>
      </c>
      <c r="Q113" s="137">
        <f t="shared" si="44"/>
        <v>-3.1963181806993202E-2</v>
      </c>
      <c r="R113" s="139">
        <f t="shared" si="45"/>
        <v>1.0055374489324997</v>
      </c>
      <c r="S113" s="169">
        <f t="shared" si="26"/>
        <v>-2.7899999999998926E-2</v>
      </c>
      <c r="T113" s="157">
        <f t="shared" si="33"/>
        <v>1.0000000000012221E-3</v>
      </c>
      <c r="U113" s="137">
        <f t="shared" si="34"/>
        <v>94310.38</v>
      </c>
      <c r="V113" s="137">
        <f t="shared" si="35"/>
        <v>94368.13</v>
      </c>
      <c r="W113" s="137">
        <f t="shared" si="46"/>
        <v>2.8619542716956659E-2</v>
      </c>
      <c r="X113" s="139">
        <f t="shared" si="47"/>
        <v>1.0255800459005611</v>
      </c>
      <c r="AA113" s="128">
        <v>11.037100000000001</v>
      </c>
      <c r="AB113" s="130">
        <v>11.065</v>
      </c>
      <c r="AC113" s="127">
        <v>7.65</v>
      </c>
    </row>
    <row r="114" spans="1:29" x14ac:dyDescent="0.3">
      <c r="A114" s="134">
        <v>44540</v>
      </c>
      <c r="B114" s="134">
        <v>44743</v>
      </c>
      <c r="C114" s="135">
        <f>NETWORKDAYS(A114,B114-1,Feriados!$A$2:$A$2000)</f>
        <v>140</v>
      </c>
      <c r="D114" s="128">
        <v>10.9026</v>
      </c>
      <c r="E114" s="137">
        <f t="shared" si="29"/>
        <v>-0.13450000000000095</v>
      </c>
      <c r="F114" s="138">
        <f t="shared" si="30"/>
        <v>944.13125100000002</v>
      </c>
      <c r="G114" s="137">
        <f t="shared" si="36"/>
        <v>94413.13</v>
      </c>
      <c r="H114" s="137">
        <f t="shared" si="37"/>
        <v>0.10894877106846224</v>
      </c>
      <c r="I114" s="139">
        <f t="shared" si="38"/>
        <v>1.0073427635528762</v>
      </c>
      <c r="J114" s="134">
        <f t="shared" si="31"/>
        <v>44743</v>
      </c>
      <c r="K114" s="130">
        <v>10.93</v>
      </c>
      <c r="L114" s="137">
        <f t="shared" si="22"/>
        <v>-0.13499999999999979</v>
      </c>
      <c r="M114" s="137">
        <f t="shared" si="23"/>
        <v>94400.17</v>
      </c>
      <c r="N114" s="127">
        <v>9.15</v>
      </c>
      <c r="O114" s="140">
        <f t="shared" si="39"/>
        <v>75.44999999999709</v>
      </c>
      <c r="P114" s="137">
        <f t="shared" si="32"/>
        <v>94400.17</v>
      </c>
      <c r="Q114" s="137">
        <f t="shared" si="44"/>
        <v>0.10927161834086707</v>
      </c>
      <c r="R114" s="139">
        <f t="shared" si="45"/>
        <v>1.0066362159759719</v>
      </c>
      <c r="S114" s="169">
        <f t="shared" si="26"/>
        <v>-2.7400000000000091E-2</v>
      </c>
      <c r="T114" s="157">
        <f t="shared" si="33"/>
        <v>4.9999999999883471E-4</v>
      </c>
      <c r="U114" s="137">
        <f t="shared" si="34"/>
        <v>94413.13</v>
      </c>
      <c r="V114" s="137">
        <f t="shared" si="35"/>
        <v>94337.680000000008</v>
      </c>
      <c r="W114" s="137">
        <f t="shared" si="46"/>
        <v>2.8946972751042743E-2</v>
      </c>
      <c r="X114" s="139">
        <f t="shared" si="47"/>
        <v>1.025876920276988</v>
      </c>
      <c r="AA114" s="128">
        <v>10.9026</v>
      </c>
      <c r="AB114" s="130">
        <v>10.93</v>
      </c>
      <c r="AC114" s="127">
        <v>9.15</v>
      </c>
    </row>
    <row r="115" spans="1:29" x14ac:dyDescent="0.3">
      <c r="A115" s="134">
        <v>44543</v>
      </c>
      <c r="B115" s="134">
        <v>44743</v>
      </c>
      <c r="C115" s="135">
        <f>NETWORKDAYS(A115,B115-1,Feriados!$A$2:$A$2000)</f>
        <v>139</v>
      </c>
      <c r="D115" s="128">
        <v>10.912599999999999</v>
      </c>
      <c r="E115" s="137">
        <f t="shared" si="29"/>
        <v>9.9999999999997868E-3</v>
      </c>
      <c r="F115" s="138">
        <f t="shared" si="30"/>
        <v>944.47205899999994</v>
      </c>
      <c r="G115" s="137">
        <f t="shared" si="36"/>
        <v>94447.21</v>
      </c>
      <c r="H115" s="137">
        <f t="shared" si="37"/>
        <v>3.6096674265539974E-2</v>
      </c>
      <c r="I115" s="139">
        <f t="shared" si="38"/>
        <v>1.0077063807889735</v>
      </c>
      <c r="J115" s="134">
        <f t="shared" si="31"/>
        <v>44743</v>
      </c>
      <c r="K115" s="130">
        <v>10.94</v>
      </c>
      <c r="L115" s="137">
        <f t="shared" si="22"/>
        <v>9.9999999999997868E-3</v>
      </c>
      <c r="M115" s="137">
        <f t="shared" si="23"/>
        <v>94434.34</v>
      </c>
      <c r="N115" s="127">
        <v>9.15</v>
      </c>
      <c r="O115" s="140">
        <f t="shared" si="39"/>
        <v>1.3699999999953434</v>
      </c>
      <c r="P115" s="137">
        <f t="shared" si="32"/>
        <v>94434.34</v>
      </c>
      <c r="Q115" s="137">
        <f t="shared" si="44"/>
        <v>3.6196968713086974E-2</v>
      </c>
      <c r="R115" s="139">
        <f t="shared" si="45"/>
        <v>1.0070005877721233</v>
      </c>
      <c r="S115" s="169">
        <f t="shared" si="26"/>
        <v>-2.7400000000000091E-2</v>
      </c>
      <c r="T115" s="157">
        <f t="shared" si="33"/>
        <v>0</v>
      </c>
      <c r="U115" s="137">
        <f t="shared" si="34"/>
        <v>94447.21</v>
      </c>
      <c r="V115" s="137">
        <f t="shared" si="35"/>
        <v>94445.840000000011</v>
      </c>
      <c r="W115" s="137">
        <f t="shared" si="46"/>
        <v>3.4645604906868854E-2</v>
      </c>
      <c r="X115" s="139">
        <f t="shared" si="47"/>
        <v>1.0262323415416179</v>
      </c>
      <c r="AA115" s="128">
        <v>10.912599999999999</v>
      </c>
      <c r="AB115" s="130">
        <v>10.94</v>
      </c>
      <c r="AC115" s="127">
        <v>9.15</v>
      </c>
    </row>
    <row r="116" spans="1:29" x14ac:dyDescent="0.3">
      <c r="A116" s="134">
        <v>44544</v>
      </c>
      <c r="B116" s="134">
        <v>44743</v>
      </c>
      <c r="C116" s="135">
        <f>NETWORKDAYS(A116,B116-1,Feriados!$A$2:$A$2000)</f>
        <v>138</v>
      </c>
      <c r="D116" s="128">
        <v>10.925000000000001</v>
      </c>
      <c r="E116" s="137">
        <f t="shared" si="29"/>
        <v>1.2400000000001299E-2</v>
      </c>
      <c r="F116" s="138">
        <f t="shared" si="30"/>
        <v>944.80247499999996</v>
      </c>
      <c r="G116" s="137">
        <f t="shared" si="36"/>
        <v>94480.25</v>
      </c>
      <c r="H116" s="137">
        <f t="shared" si="37"/>
        <v>3.4982505041702971E-2</v>
      </c>
      <c r="I116" s="139">
        <f t="shared" si="38"/>
        <v>1.0080589017244386</v>
      </c>
      <c r="J116" s="134">
        <f t="shared" si="31"/>
        <v>44743</v>
      </c>
      <c r="K116" s="130">
        <v>10.955</v>
      </c>
      <c r="L116" s="137">
        <f t="shared" si="22"/>
        <v>1.5000000000000568E-2</v>
      </c>
      <c r="M116" s="137">
        <f t="shared" si="23"/>
        <v>94466.26</v>
      </c>
      <c r="N116" s="127">
        <v>9.15</v>
      </c>
      <c r="O116" s="140">
        <f t="shared" si="39"/>
        <v>-0.90000000000873115</v>
      </c>
      <c r="P116" s="137">
        <f t="shared" si="32"/>
        <v>94466.26</v>
      </c>
      <c r="Q116" s="137">
        <f t="shared" si="44"/>
        <v>3.3801263396338044E-2</v>
      </c>
      <c r="R116" s="139">
        <f t="shared" si="45"/>
        <v>1.0073409666931989</v>
      </c>
      <c r="S116" s="169">
        <f t="shared" si="26"/>
        <v>-2.9999999999999361E-2</v>
      </c>
      <c r="T116" s="157">
        <f t="shared" si="33"/>
        <v>-2.5999999999992696E-3</v>
      </c>
      <c r="U116" s="137">
        <f t="shared" si="34"/>
        <v>94480.25</v>
      </c>
      <c r="V116" s="137">
        <f t="shared" si="35"/>
        <v>94481.150000000009</v>
      </c>
      <c r="W116" s="137">
        <f t="shared" si="46"/>
        <v>3.5935418314636536E-2</v>
      </c>
      <c r="X116" s="139">
        <f t="shared" si="47"/>
        <v>1.0266011224264311</v>
      </c>
      <c r="AA116" s="128">
        <v>10.925000000000001</v>
      </c>
      <c r="AB116" s="130">
        <v>10.955</v>
      </c>
      <c r="AC116" s="127">
        <v>9.15</v>
      </c>
    </row>
    <row r="117" spans="1:29" x14ac:dyDescent="0.3">
      <c r="A117" s="134">
        <v>44545</v>
      </c>
      <c r="B117" s="134">
        <v>44743</v>
      </c>
      <c r="C117" s="135">
        <f>NETWORKDAYS(A117,B117-1,Feriados!$A$2:$A$2000)</f>
        <v>137</v>
      </c>
      <c r="D117" s="128">
        <v>10.9902</v>
      </c>
      <c r="E117" s="137">
        <f t="shared" si="29"/>
        <v>6.5199999999999037E-2</v>
      </c>
      <c r="F117" s="138">
        <f t="shared" si="30"/>
        <v>944.88939000000005</v>
      </c>
      <c r="G117" s="137">
        <f t="shared" si="36"/>
        <v>94488.94</v>
      </c>
      <c r="H117" s="137">
        <f t="shared" si="37"/>
        <v>9.1976894642131768E-3</v>
      </c>
      <c r="I117" s="139">
        <f t="shared" si="38"/>
        <v>1.0081516198518354</v>
      </c>
      <c r="J117" s="134">
        <f t="shared" si="31"/>
        <v>44743</v>
      </c>
      <c r="K117" s="130">
        <v>11.02</v>
      </c>
      <c r="L117" s="137">
        <f t="shared" si="22"/>
        <v>6.4999999999999503E-2</v>
      </c>
      <c r="M117" s="137">
        <f t="shared" si="23"/>
        <v>94475.15</v>
      </c>
      <c r="N117" s="127">
        <v>9.15</v>
      </c>
      <c r="O117" s="140">
        <f t="shared" si="39"/>
        <v>-23.940000000002328</v>
      </c>
      <c r="P117" s="137">
        <f t="shared" si="32"/>
        <v>94475.15</v>
      </c>
      <c r="Q117" s="137">
        <f t="shared" si="44"/>
        <v>9.4107673999088703E-3</v>
      </c>
      <c r="R117" s="139">
        <f t="shared" si="45"/>
        <v>1.0074357652084984</v>
      </c>
      <c r="S117" s="169">
        <f t="shared" si="26"/>
        <v>-2.9799999999999827E-2</v>
      </c>
      <c r="T117" s="157">
        <f t="shared" si="33"/>
        <v>1.9999999999953388E-4</v>
      </c>
      <c r="U117" s="137">
        <f t="shared" si="34"/>
        <v>94488.94</v>
      </c>
      <c r="V117" s="137">
        <f t="shared" si="35"/>
        <v>94512.88</v>
      </c>
      <c r="W117" s="137">
        <f t="shared" si="46"/>
        <v>3.4536318436928504E-2</v>
      </c>
      <c r="X117" s="139">
        <f t="shared" si="47"/>
        <v>1.0269556726591493</v>
      </c>
      <c r="AA117" s="128">
        <v>10.9902</v>
      </c>
      <c r="AB117" s="130">
        <v>11.02</v>
      </c>
      <c r="AC117" s="127">
        <v>9.15</v>
      </c>
    </row>
    <row r="118" spans="1:29" x14ac:dyDescent="0.3">
      <c r="A118" s="134">
        <v>44546</v>
      </c>
      <c r="B118" s="134">
        <v>44743</v>
      </c>
      <c r="C118" s="135">
        <f>NETWORKDAYS(A118,B118-1,Feriados!$A$2:$A$2000)</f>
        <v>136</v>
      </c>
      <c r="D118" s="128">
        <v>11.046099999999999</v>
      </c>
      <c r="E118" s="137">
        <f t="shared" si="29"/>
        <v>5.5899999999999395E-2</v>
      </c>
      <c r="F118" s="138">
        <f t="shared" si="30"/>
        <v>945.02360699999997</v>
      </c>
      <c r="G118" s="137">
        <f t="shared" si="36"/>
        <v>94502.36</v>
      </c>
      <c r="H118" s="137">
        <f t="shared" si="37"/>
        <v>1.4202720445366523E-2</v>
      </c>
      <c r="I118" s="139">
        <f t="shared" si="38"/>
        <v>1.0082948048080684</v>
      </c>
      <c r="J118" s="134">
        <f t="shared" si="31"/>
        <v>44743</v>
      </c>
      <c r="K118" s="130">
        <v>11.074999999999999</v>
      </c>
      <c r="L118" s="137">
        <f t="shared" si="22"/>
        <v>5.4999999999999716E-2</v>
      </c>
      <c r="M118" s="137">
        <f t="shared" si="23"/>
        <v>94489.09</v>
      </c>
      <c r="N118" s="127">
        <v>9.15</v>
      </c>
      <c r="O118" s="140">
        <f t="shared" si="39"/>
        <v>-18.889999999999418</v>
      </c>
      <c r="P118" s="137">
        <f t="shared" si="32"/>
        <v>94489.09</v>
      </c>
      <c r="Q118" s="137">
        <f t="shared" si="44"/>
        <v>1.4755202823169E-2</v>
      </c>
      <c r="R118" s="139">
        <f t="shared" si="45"/>
        <v>1.0075844143989681</v>
      </c>
      <c r="S118" s="169">
        <f t="shared" si="26"/>
        <v>-2.8900000000000148E-2</v>
      </c>
      <c r="T118" s="157">
        <f t="shared" si="33"/>
        <v>8.9999999999967883E-4</v>
      </c>
      <c r="U118" s="137">
        <f t="shared" si="34"/>
        <v>94502.36</v>
      </c>
      <c r="V118" s="137">
        <f t="shared" si="35"/>
        <v>94521.25</v>
      </c>
      <c r="W118" s="137">
        <f t="shared" si="46"/>
        <v>3.419447821089161E-2</v>
      </c>
      <c r="X118" s="139">
        <f t="shared" si="47"/>
        <v>1.0273068347928722</v>
      </c>
      <c r="AA118" s="128">
        <v>11.046099999999999</v>
      </c>
      <c r="AB118" s="130">
        <v>11.074999999999999</v>
      </c>
      <c r="AC118" s="127">
        <v>9.15</v>
      </c>
    </row>
    <row r="119" spans="1:29" x14ac:dyDescent="0.3">
      <c r="A119" s="134">
        <v>44547</v>
      </c>
      <c r="B119" s="134">
        <v>44743</v>
      </c>
      <c r="C119" s="135">
        <f>NETWORKDAYS(A119,B119-1,Feriados!$A$2:$A$2000)</f>
        <v>135</v>
      </c>
      <c r="D119" s="128">
        <v>11.0969</v>
      </c>
      <c r="E119" s="137">
        <f t="shared" si="29"/>
        <v>5.0800000000000622E-2</v>
      </c>
      <c r="F119" s="138">
        <f t="shared" si="30"/>
        <v>945.18499199999997</v>
      </c>
      <c r="G119" s="137">
        <f t="shared" si="36"/>
        <v>94518.5</v>
      </c>
      <c r="H119" s="137">
        <f t="shared" si="37"/>
        <v>1.7078938557735235E-2</v>
      </c>
      <c r="I119" s="139">
        <f t="shared" si="38"/>
        <v>1.0084670108582625</v>
      </c>
      <c r="J119" s="134">
        <f t="shared" si="31"/>
        <v>44743</v>
      </c>
      <c r="K119" s="130">
        <v>11.125</v>
      </c>
      <c r="L119" s="137">
        <f t="shared" si="22"/>
        <v>5.0000000000000711E-2</v>
      </c>
      <c r="M119" s="137">
        <f t="shared" si="23"/>
        <v>94505.69</v>
      </c>
      <c r="N119" s="127">
        <v>9.15</v>
      </c>
      <c r="O119" s="140">
        <f t="shared" si="39"/>
        <v>-16.229999999995925</v>
      </c>
      <c r="P119" s="137">
        <f t="shared" si="32"/>
        <v>94505.69</v>
      </c>
      <c r="Q119" s="137">
        <f t="shared" si="44"/>
        <v>1.7568165806247649E-2</v>
      </c>
      <c r="R119" s="139">
        <f t="shared" si="45"/>
        <v>1.0077614284995275</v>
      </c>
      <c r="S119" s="169">
        <f t="shared" si="26"/>
        <v>-2.8100000000000236E-2</v>
      </c>
      <c r="T119" s="157">
        <f t="shared" si="33"/>
        <v>7.9999999999991189E-4</v>
      </c>
      <c r="U119" s="137">
        <f t="shared" si="34"/>
        <v>94518.5</v>
      </c>
      <c r="V119" s="137">
        <f t="shared" si="35"/>
        <v>94534.73</v>
      </c>
      <c r="W119" s="137">
        <f t="shared" si="46"/>
        <v>3.4253112832316468E-2</v>
      </c>
      <c r="X119" s="139">
        <f t="shared" si="47"/>
        <v>1.0276587193621278</v>
      </c>
      <c r="AA119" s="128">
        <v>11.0969</v>
      </c>
      <c r="AB119" s="130">
        <v>11.125</v>
      </c>
      <c r="AC119" s="127">
        <v>9.15</v>
      </c>
    </row>
    <row r="120" spans="1:29" x14ac:dyDescent="0.3">
      <c r="A120" s="134">
        <v>44550</v>
      </c>
      <c r="B120" s="134">
        <v>44743</v>
      </c>
      <c r="C120" s="135">
        <f>NETWORKDAYS(A120,B120-1,Feriados!$A$2:$A$2000)</f>
        <v>134</v>
      </c>
      <c r="D120" s="128">
        <v>11.0069</v>
      </c>
      <c r="E120" s="137">
        <f t="shared" si="29"/>
        <v>-8.9999999999999858E-2</v>
      </c>
      <c r="F120" s="138">
        <f t="shared" si="30"/>
        <v>945.98735399999998</v>
      </c>
      <c r="G120" s="137">
        <f t="shared" si="36"/>
        <v>94598.74</v>
      </c>
      <c r="H120" s="137">
        <f t="shared" si="37"/>
        <v>8.4893433560639942E-2</v>
      </c>
      <c r="I120" s="139">
        <f t="shared" si="38"/>
        <v>1.0093231331301065</v>
      </c>
      <c r="J120" s="134">
        <f t="shared" si="31"/>
        <v>44743</v>
      </c>
      <c r="K120" s="130">
        <v>11.035</v>
      </c>
      <c r="L120" s="137">
        <f t="shared" si="22"/>
        <v>-8.9999999999999858E-2</v>
      </c>
      <c r="M120" s="137">
        <f t="shared" si="23"/>
        <v>94586</v>
      </c>
      <c r="N120" s="127">
        <v>9.15</v>
      </c>
      <c r="O120" s="140">
        <f t="shared" si="39"/>
        <v>47.470000000001164</v>
      </c>
      <c r="P120" s="137">
        <f t="shared" si="32"/>
        <v>94586</v>
      </c>
      <c r="Q120" s="137">
        <f t="shared" si="44"/>
        <v>8.4979010258523502E-2</v>
      </c>
      <c r="R120" s="139">
        <f t="shared" si="45"/>
        <v>1.0086178141872335</v>
      </c>
      <c r="S120" s="169">
        <f t="shared" si="26"/>
        <v>-2.8100000000000236E-2</v>
      </c>
      <c r="T120" s="157">
        <f t="shared" si="33"/>
        <v>0</v>
      </c>
      <c r="U120" s="137">
        <f t="shared" si="34"/>
        <v>94598.74</v>
      </c>
      <c r="V120" s="137">
        <f t="shared" si="35"/>
        <v>94551.27</v>
      </c>
      <c r="W120" s="137">
        <f t="shared" si="46"/>
        <v>3.4670461338270897E-2</v>
      </c>
      <c r="X120" s="139">
        <f t="shared" si="47"/>
        <v>1.0280150133811137</v>
      </c>
      <c r="AA120" s="128">
        <v>11.0069</v>
      </c>
      <c r="AB120" s="130">
        <v>11.035</v>
      </c>
      <c r="AC120" s="127">
        <v>9.15</v>
      </c>
    </row>
    <row r="121" spans="1:29" x14ac:dyDescent="0.3">
      <c r="A121" s="134">
        <v>44551</v>
      </c>
      <c r="B121" s="134">
        <v>44743</v>
      </c>
      <c r="C121" s="135">
        <f>NETWORKDAYS(A121,B121-1,Feriados!$A$2:$A$2000)</f>
        <v>133</v>
      </c>
      <c r="D121" s="128">
        <v>10.981999999999999</v>
      </c>
      <c r="E121" s="137">
        <f t="shared" si="29"/>
        <v>-2.4900000000000588E-2</v>
      </c>
      <c r="F121" s="138">
        <f t="shared" si="30"/>
        <v>946.49148500000001</v>
      </c>
      <c r="G121" s="137">
        <f t="shared" si="36"/>
        <v>94649.15</v>
      </c>
      <c r="H121" s="137">
        <f t="shared" si="37"/>
        <v>5.3288236185800031E-2</v>
      </c>
      <c r="I121" s="139">
        <f t="shared" si="38"/>
        <v>1.0098609836251669</v>
      </c>
      <c r="J121" s="134">
        <f t="shared" si="31"/>
        <v>44743</v>
      </c>
      <c r="K121" s="130">
        <v>11.01</v>
      </c>
      <c r="L121" s="137">
        <f t="shared" si="22"/>
        <v>-2.5000000000000355E-2</v>
      </c>
      <c r="M121" s="137">
        <f t="shared" si="23"/>
        <v>94636.55</v>
      </c>
      <c r="N121" s="127">
        <v>9.15</v>
      </c>
      <c r="O121" s="140">
        <f t="shared" si="39"/>
        <v>17.680000000007567</v>
      </c>
      <c r="P121" s="137">
        <f t="shared" si="32"/>
        <v>94636.55</v>
      </c>
      <c r="Q121" s="137">
        <f t="shared" si="44"/>
        <v>5.3443427145660749E-2</v>
      </c>
      <c r="R121" s="139">
        <f t="shared" si="45"/>
        <v>1.0091568541139369</v>
      </c>
      <c r="S121" s="169">
        <f t="shared" si="26"/>
        <v>-2.8000000000000469E-2</v>
      </c>
      <c r="T121" s="157">
        <f t="shared" si="33"/>
        <v>9.9999999999766942E-5</v>
      </c>
      <c r="U121" s="137">
        <f t="shared" si="34"/>
        <v>94649.15</v>
      </c>
      <c r="V121" s="137">
        <f t="shared" si="35"/>
        <v>94631.469999999987</v>
      </c>
      <c r="W121" s="137">
        <f t="shared" si="46"/>
        <v>3.459876949734042E-2</v>
      </c>
      <c r="X121" s="139">
        <f t="shared" si="47"/>
        <v>1.0283706939259916</v>
      </c>
      <c r="AA121" s="128">
        <v>10.981999999999999</v>
      </c>
      <c r="AB121" s="130">
        <v>11.01</v>
      </c>
      <c r="AC121" s="127">
        <v>9.15</v>
      </c>
    </row>
    <row r="122" spans="1:29" x14ac:dyDescent="0.3">
      <c r="A122" s="134">
        <v>44552</v>
      </c>
      <c r="B122" s="134">
        <v>44743</v>
      </c>
      <c r="C122" s="135">
        <f>NETWORKDAYS(A122,B122-1,Feriados!$A$2:$A$2000)</f>
        <v>132</v>
      </c>
      <c r="D122" s="128">
        <v>10.975</v>
      </c>
      <c r="E122" s="137">
        <f t="shared" si="29"/>
        <v>-6.9999999999996732E-3</v>
      </c>
      <c r="F122" s="138">
        <f t="shared" si="30"/>
        <v>946.91420900000003</v>
      </c>
      <c r="G122" s="137">
        <f t="shared" si="36"/>
        <v>94691.42</v>
      </c>
      <c r="H122" s="137">
        <f t="shared" si="37"/>
        <v>4.4659672062574707E-2</v>
      </c>
      <c r="I122" s="139">
        <f t="shared" si="38"/>
        <v>1.0103119842287418</v>
      </c>
      <c r="J122" s="134">
        <f t="shared" si="31"/>
        <v>44743</v>
      </c>
      <c r="K122" s="130">
        <v>11</v>
      </c>
      <c r="L122" s="137">
        <f t="shared" si="22"/>
        <v>-9.9999999999997868E-3</v>
      </c>
      <c r="M122" s="137">
        <f t="shared" si="23"/>
        <v>94680.25</v>
      </c>
      <c r="N122" s="127">
        <v>9.15</v>
      </c>
      <c r="O122" s="140">
        <f t="shared" si="39"/>
        <v>10.809999999997672</v>
      </c>
      <c r="P122" s="137">
        <f t="shared" si="32"/>
        <v>94680.25</v>
      </c>
      <c r="Q122" s="137">
        <f t="shared" si="44"/>
        <v>4.6176662188135431E-2</v>
      </c>
      <c r="R122" s="139">
        <f t="shared" si="45"/>
        <v>1.0096228490654096</v>
      </c>
      <c r="S122" s="169">
        <f t="shared" si="26"/>
        <v>-2.5000000000000355E-2</v>
      </c>
      <c r="T122" s="157">
        <f t="shared" si="33"/>
        <v>3.0000000000001137E-3</v>
      </c>
      <c r="U122" s="137">
        <f t="shared" si="34"/>
        <v>94691.42</v>
      </c>
      <c r="V122" s="137">
        <f t="shared" si="35"/>
        <v>94680.61</v>
      </c>
      <c r="W122" s="137">
        <f t="shared" si="46"/>
        <v>3.3238544667346659E-2</v>
      </c>
      <c r="X122" s="139">
        <f t="shared" si="47"/>
        <v>1.0287125093784382</v>
      </c>
      <c r="AA122" s="128">
        <v>10.975</v>
      </c>
      <c r="AB122" s="130">
        <v>11</v>
      </c>
      <c r="AC122" s="127">
        <v>9.15</v>
      </c>
    </row>
    <row r="123" spans="1:29" x14ac:dyDescent="0.3">
      <c r="A123" s="134">
        <v>44553</v>
      </c>
      <c r="B123" s="134">
        <v>44743</v>
      </c>
      <c r="C123" s="135">
        <f>NETWORKDAYS(A123,B123-1,Feriados!$A$2:$A$2000)</f>
        <v>131</v>
      </c>
      <c r="D123" s="128">
        <v>11.042899999999999</v>
      </c>
      <c r="E123" s="137">
        <f t="shared" si="29"/>
        <v>6.7899999999999849E-2</v>
      </c>
      <c r="F123" s="138">
        <f t="shared" si="30"/>
        <v>947.00442199999998</v>
      </c>
      <c r="G123" s="137">
        <f t="shared" si="36"/>
        <v>94700.44</v>
      </c>
      <c r="H123" s="137">
        <f t="shared" si="37"/>
        <v>9.5256782504771209E-3</v>
      </c>
      <c r="I123" s="139">
        <f t="shared" si="38"/>
        <v>1.0104082232976854</v>
      </c>
      <c r="J123" s="134">
        <f t="shared" si="31"/>
        <v>44743</v>
      </c>
      <c r="K123" s="130">
        <v>11.065</v>
      </c>
      <c r="L123" s="137">
        <f t="shared" si="22"/>
        <v>6.4999999999999503E-2</v>
      </c>
      <c r="M123" s="137">
        <f t="shared" si="23"/>
        <v>94690.65</v>
      </c>
      <c r="N123" s="127">
        <v>9.15</v>
      </c>
      <c r="O123" s="140">
        <f t="shared" si="39"/>
        <v>-22.5</v>
      </c>
      <c r="P123" s="137">
        <f t="shared" si="32"/>
        <v>94690.65</v>
      </c>
      <c r="Q123" s="137">
        <f t="shared" si="44"/>
        <v>1.098433939494825E-2</v>
      </c>
      <c r="R123" s="139">
        <f t="shared" si="45"/>
        <v>1.0097337494657599</v>
      </c>
      <c r="S123" s="169">
        <f t="shared" si="26"/>
        <v>-2.2100000000000009E-2</v>
      </c>
      <c r="T123" s="157">
        <f t="shared" si="33"/>
        <v>2.9000000000003467E-3</v>
      </c>
      <c r="U123" s="137">
        <f t="shared" si="34"/>
        <v>94700.44</v>
      </c>
      <c r="V123" s="137">
        <f t="shared" si="35"/>
        <v>94722.94</v>
      </c>
      <c r="W123" s="137">
        <f t="shared" si="46"/>
        <v>3.3287070782139772E-2</v>
      </c>
      <c r="X123" s="139">
        <f t="shared" si="47"/>
        <v>1.0290549376395797</v>
      </c>
      <c r="AA123" s="128">
        <v>11.042899999999999</v>
      </c>
      <c r="AB123" s="130">
        <v>11.065</v>
      </c>
      <c r="AC123" s="127">
        <v>9.15</v>
      </c>
    </row>
    <row r="124" spans="1:29" s="153" customFormat="1" x14ac:dyDescent="0.3">
      <c r="A124" s="144">
        <v>44554</v>
      </c>
      <c r="B124" s="144">
        <v>44743</v>
      </c>
      <c r="C124" s="145">
        <f>NETWORKDAYS(A124,B124-1,Feriados!$A$2:$A$2000)</f>
        <v>130</v>
      </c>
      <c r="D124" s="146">
        <v>11.042899999999999</v>
      </c>
      <c r="E124" s="147">
        <f t="shared" si="29"/>
        <v>0</v>
      </c>
      <c r="F124" s="148">
        <f t="shared" si="30"/>
        <v>947.39813600000002</v>
      </c>
      <c r="G124" s="147">
        <f t="shared" si="36"/>
        <v>94739.81</v>
      </c>
      <c r="H124" s="147">
        <f t="shared" si="37"/>
        <v>4.1573196492006304E-2</v>
      </c>
      <c r="I124" s="149">
        <f t="shared" si="38"/>
        <v>1.0108282822937285</v>
      </c>
      <c r="J124" s="144">
        <f t="shared" si="31"/>
        <v>44743</v>
      </c>
      <c r="K124" s="150">
        <v>11.065</v>
      </c>
      <c r="L124" s="147">
        <f t="shared" si="22"/>
        <v>0</v>
      </c>
      <c r="M124" s="147">
        <f t="shared" si="23"/>
        <v>94730.09</v>
      </c>
      <c r="N124" s="151">
        <v>9.15</v>
      </c>
      <c r="O124" s="152">
        <f t="shared" si="39"/>
        <v>6.5399999999935972</v>
      </c>
      <c r="P124" s="147">
        <f t="shared" si="32"/>
        <v>94730.09</v>
      </c>
      <c r="Q124" s="147">
        <f t="shared" si="44"/>
        <v>4.1651419649135768E-2</v>
      </c>
      <c r="R124" s="149">
        <f t="shared" si="45"/>
        <v>1.0101543179070889</v>
      </c>
      <c r="S124" s="169">
        <f t="shared" si="26"/>
        <v>-2.2100000000000009E-2</v>
      </c>
      <c r="T124" s="158">
        <f t="shared" si="33"/>
        <v>0</v>
      </c>
      <c r="U124" s="147">
        <f t="shared" si="34"/>
        <v>94739.81</v>
      </c>
      <c r="V124" s="147">
        <f t="shared" si="35"/>
        <v>94733.27</v>
      </c>
      <c r="W124" s="147">
        <f t="shared" si="46"/>
        <v>3.4667209571570545E-2</v>
      </c>
      <c r="X124" s="149">
        <f t="shared" si="47"/>
        <v>1.0294116822714179</v>
      </c>
      <c r="AA124" s="146">
        <v>11.042899999999999</v>
      </c>
      <c r="AB124" s="150">
        <v>11.065</v>
      </c>
      <c r="AC124" s="151">
        <v>9.15</v>
      </c>
    </row>
    <row r="125" spans="1:29" x14ac:dyDescent="0.3">
      <c r="A125" s="134">
        <v>44557</v>
      </c>
      <c r="B125" s="134">
        <v>44743</v>
      </c>
      <c r="C125" s="135">
        <f>NETWORKDAYS(A125,B125-1,Feriados!$A$2:$A$2000)</f>
        <v>129</v>
      </c>
      <c r="D125" s="128">
        <v>11.101599999999999</v>
      </c>
      <c r="E125" s="137">
        <f t="shared" si="29"/>
        <v>5.8699999999999974E-2</v>
      </c>
      <c r="F125" s="138">
        <f t="shared" si="30"/>
        <v>947.53563899999995</v>
      </c>
      <c r="G125" s="137">
        <f t="shared" si="36"/>
        <v>94753.56</v>
      </c>
      <c r="H125" s="137">
        <f t="shared" si="37"/>
        <v>1.4513434215257526E-2</v>
      </c>
      <c r="I125" s="139">
        <f t="shared" si="38"/>
        <v>1.0109749881915084</v>
      </c>
      <c r="J125" s="134">
        <f t="shared" si="31"/>
        <v>44743</v>
      </c>
      <c r="K125" s="130">
        <v>11.12</v>
      </c>
      <c r="L125" s="137">
        <f t="shared" si="22"/>
        <v>5.4999999999999716E-2</v>
      </c>
      <c r="M125" s="137">
        <f t="shared" si="23"/>
        <v>94745.53</v>
      </c>
      <c r="N125" s="127">
        <v>9.15</v>
      </c>
      <c r="O125" s="140">
        <f t="shared" si="39"/>
        <v>-17.479999999995925</v>
      </c>
      <c r="P125" s="137">
        <f t="shared" si="32"/>
        <v>94745.53</v>
      </c>
      <c r="Q125" s="137">
        <f t="shared" si="44"/>
        <v>1.6298939439418625E-2</v>
      </c>
      <c r="R125" s="139">
        <f t="shared" si="45"/>
        <v>1.0103189623476092</v>
      </c>
      <c r="S125" s="169">
        <f t="shared" si="26"/>
        <v>-1.839999999999975E-2</v>
      </c>
      <c r="T125" s="157">
        <f t="shared" si="33"/>
        <v>3.7000000000002586E-3</v>
      </c>
      <c r="U125" s="137">
        <f t="shared" si="34"/>
        <v>94753.56</v>
      </c>
      <c r="V125" s="137">
        <f t="shared" si="35"/>
        <v>94771.04</v>
      </c>
      <c r="W125" s="137">
        <f t="shared" si="46"/>
        <v>3.2963967312160669E-2</v>
      </c>
      <c r="X125" s="139">
        <f t="shared" si="47"/>
        <v>1.0297510172018693</v>
      </c>
      <c r="AA125" s="128">
        <v>11.101599999999999</v>
      </c>
      <c r="AB125" s="130">
        <v>11.12</v>
      </c>
      <c r="AC125" s="127">
        <v>9.15</v>
      </c>
    </row>
    <row r="126" spans="1:29" x14ac:dyDescent="0.3">
      <c r="A126" s="134">
        <v>44558</v>
      </c>
      <c r="B126" s="134">
        <v>44743</v>
      </c>
      <c r="C126" s="135">
        <f>NETWORKDAYS(A126,B126-1,Feriados!$A$2:$A$2000)</f>
        <v>128</v>
      </c>
      <c r="D126" s="128">
        <v>11.142300000000001</v>
      </c>
      <c r="E126" s="137">
        <f t="shared" si="29"/>
        <v>4.0700000000001069E-2</v>
      </c>
      <c r="F126" s="138">
        <f t="shared" si="30"/>
        <v>947.75522599999999</v>
      </c>
      <c r="G126" s="137">
        <f t="shared" si="36"/>
        <v>94775.52</v>
      </c>
      <c r="H126" s="137">
        <f t="shared" si="37"/>
        <v>2.3175910224382257E-2</v>
      </c>
      <c r="I126" s="139">
        <f t="shared" si="38"/>
        <v>1.0112092908471626</v>
      </c>
      <c r="J126" s="134">
        <f t="shared" si="31"/>
        <v>44743</v>
      </c>
      <c r="K126" s="130">
        <v>11.154999999999999</v>
      </c>
      <c r="L126" s="137">
        <f t="shared" si="22"/>
        <v>3.5000000000000142E-2</v>
      </c>
      <c r="M126" s="137">
        <f t="shared" si="23"/>
        <v>94770.02</v>
      </c>
      <c r="N126" s="127">
        <v>9.15</v>
      </c>
      <c r="O126" s="140">
        <f t="shared" si="39"/>
        <v>-8.4299999999930151</v>
      </c>
      <c r="P126" s="137">
        <f t="shared" si="32"/>
        <v>94770.02</v>
      </c>
      <c r="Q126" s="137">
        <f t="shared" si="44"/>
        <v>2.5848185133381385E-2</v>
      </c>
      <c r="R126" s="139">
        <f t="shared" si="45"/>
        <v>1.0105801114634345</v>
      </c>
      <c r="S126" s="169">
        <f t="shared" si="26"/>
        <v>-1.2699999999998823E-2</v>
      </c>
      <c r="T126" s="157">
        <f t="shared" si="33"/>
        <v>5.7000000000009265E-3</v>
      </c>
      <c r="U126" s="137">
        <f t="shared" si="34"/>
        <v>94775.52</v>
      </c>
      <c r="V126" s="137">
        <f t="shared" si="35"/>
        <v>94783.95</v>
      </c>
      <c r="W126" s="137">
        <f t="shared" si="46"/>
        <v>3.2072673575544997E-2</v>
      </c>
      <c r="X126" s="139">
        <f t="shared" si="47"/>
        <v>1.0300812858842574</v>
      </c>
      <c r="AA126" s="128">
        <v>11.142300000000001</v>
      </c>
      <c r="AB126" s="130">
        <v>11.154999999999999</v>
      </c>
      <c r="AC126" s="127">
        <v>9.15</v>
      </c>
    </row>
    <row r="127" spans="1:29" x14ac:dyDescent="0.3">
      <c r="A127" s="134">
        <v>44559</v>
      </c>
      <c r="B127" s="134">
        <v>44743</v>
      </c>
      <c r="C127" s="135">
        <f>NETWORKDAYS(A127,B127-1,Feriados!$A$2:$A$2000)</f>
        <v>127</v>
      </c>
      <c r="D127" s="128">
        <v>11.2128</v>
      </c>
      <c r="E127" s="137">
        <f t="shared" si="29"/>
        <v>7.0499999999999119E-2</v>
      </c>
      <c r="F127" s="138">
        <f t="shared" si="30"/>
        <v>947.84965899999997</v>
      </c>
      <c r="G127" s="137">
        <f t="shared" si="36"/>
        <v>94784.97</v>
      </c>
      <c r="H127" s="137">
        <f t="shared" si="37"/>
        <v>9.9709292019634077E-3</v>
      </c>
      <c r="I127" s="139">
        <f t="shared" si="38"/>
        <v>1.0113101178096366</v>
      </c>
      <c r="J127" s="134">
        <f t="shared" si="31"/>
        <v>44743</v>
      </c>
      <c r="K127" s="130">
        <v>11.215</v>
      </c>
      <c r="L127" s="137">
        <f t="shared" si="22"/>
        <v>6.0000000000000497E-2</v>
      </c>
      <c r="M127" s="137">
        <f t="shared" si="23"/>
        <v>94784.02</v>
      </c>
      <c r="N127" s="127">
        <v>9.15</v>
      </c>
      <c r="O127" s="140">
        <f t="shared" si="39"/>
        <v>-18.929999999993015</v>
      </c>
      <c r="P127" s="137">
        <f t="shared" si="32"/>
        <v>94784.02</v>
      </c>
      <c r="Q127" s="137">
        <f t="shared" si="44"/>
        <v>1.4772604247625942E-2</v>
      </c>
      <c r="R127" s="139">
        <f t="shared" si="45"/>
        <v>1.0107294004639062</v>
      </c>
      <c r="S127" s="169">
        <f t="shared" si="26"/>
        <v>-2.2000000000002018E-3</v>
      </c>
      <c r="T127" s="157">
        <f t="shared" si="33"/>
        <v>1.0499999999998622E-2</v>
      </c>
      <c r="U127" s="137">
        <f t="shared" si="34"/>
        <v>94784.97</v>
      </c>
      <c r="V127" s="137">
        <f t="shared" si="35"/>
        <v>94803.9</v>
      </c>
      <c r="W127" s="137">
        <f t="shared" si="46"/>
        <v>2.9944441349405437E-2</v>
      </c>
      <c r="X127" s="139">
        <f t="shared" si="47"/>
        <v>1.0303897379707603</v>
      </c>
      <c r="AA127" s="128">
        <v>11.2128</v>
      </c>
      <c r="AB127" s="130">
        <v>11.215</v>
      </c>
      <c r="AC127" s="127">
        <v>9.15</v>
      </c>
    </row>
    <row r="128" spans="1:29" x14ac:dyDescent="0.3">
      <c r="A128" s="134">
        <v>44560</v>
      </c>
      <c r="B128" s="134">
        <v>44743</v>
      </c>
      <c r="C128" s="135">
        <f>NETWORKDAYS(A128,B128-1,Feriados!$A$2:$A$2000)</f>
        <v>126</v>
      </c>
      <c r="D128" s="128">
        <v>11.2331</v>
      </c>
      <c r="E128" s="137">
        <f t="shared" si="29"/>
        <v>2.0300000000000651E-2</v>
      </c>
      <c r="F128" s="138">
        <f t="shared" si="30"/>
        <v>948.16294600000003</v>
      </c>
      <c r="G128" s="137">
        <f t="shared" si="36"/>
        <v>94816.29</v>
      </c>
      <c r="H128" s="137">
        <f t="shared" si="37"/>
        <v>3.304321349681949E-2</v>
      </c>
      <c r="I128" s="139">
        <f t="shared" si="38"/>
        <v>1.0116442871709794</v>
      </c>
      <c r="J128" s="134">
        <f t="shared" si="31"/>
        <v>44743</v>
      </c>
      <c r="K128" s="130">
        <v>11.23</v>
      </c>
      <c r="L128" s="137">
        <f t="shared" si="22"/>
        <v>1.5000000000000568E-2</v>
      </c>
      <c r="M128" s="137">
        <f t="shared" si="23"/>
        <v>94817.62</v>
      </c>
      <c r="N128" s="127">
        <v>9.15</v>
      </c>
      <c r="O128" s="140">
        <f t="shared" si="39"/>
        <v>0.65999999998894054</v>
      </c>
      <c r="P128" s="137">
        <f t="shared" si="32"/>
        <v>94817.62</v>
      </c>
      <c r="Q128" s="137">
        <f t="shared" si="44"/>
        <v>3.5449013451827049E-2</v>
      </c>
      <c r="R128" s="139">
        <f t="shared" si="45"/>
        <v>1.0110876940650382</v>
      </c>
      <c r="S128" s="169">
        <f t="shared" si="26"/>
        <v>3.0999999999998806E-3</v>
      </c>
      <c r="T128" s="157">
        <f t="shared" si="33"/>
        <v>5.3000000000000824E-3</v>
      </c>
      <c r="U128" s="137">
        <f t="shared" si="34"/>
        <v>94816.29</v>
      </c>
      <c r="V128" s="137">
        <f t="shared" si="35"/>
        <v>94815.63</v>
      </c>
      <c r="W128" s="137">
        <f t="shared" si="46"/>
        <v>3.2346900568724912E-2</v>
      </c>
      <c r="X128" s="139">
        <f t="shared" si="47"/>
        <v>1.030723037114772</v>
      </c>
      <c r="AA128" s="128">
        <v>11.2331</v>
      </c>
      <c r="AB128" s="130">
        <v>11.23</v>
      </c>
      <c r="AC128" s="127">
        <v>9.15</v>
      </c>
    </row>
    <row r="129" spans="1:29" s="153" customFormat="1" x14ac:dyDescent="0.3">
      <c r="A129" s="144">
        <v>44561</v>
      </c>
      <c r="B129" s="144">
        <v>44743</v>
      </c>
      <c r="C129" s="145">
        <f>NETWORKDAYS(A129,B129-1,Feriados!$A$2:$A$2000)</f>
        <v>125</v>
      </c>
      <c r="D129" s="146">
        <v>11.2331</v>
      </c>
      <c r="E129" s="147">
        <f t="shared" si="29"/>
        <v>0</v>
      </c>
      <c r="F129" s="148">
        <f t="shared" si="30"/>
        <v>948.56358399999999</v>
      </c>
      <c r="G129" s="147">
        <f t="shared" si="36"/>
        <v>94856.36</v>
      </c>
      <c r="H129" s="147">
        <f t="shared" si="37"/>
        <v>4.2260670608396111E-2</v>
      </c>
      <c r="I129" s="149">
        <f t="shared" si="38"/>
        <v>1.0120718148309094</v>
      </c>
      <c r="J129" s="144">
        <f t="shared" si="31"/>
        <v>44743</v>
      </c>
      <c r="K129" s="150">
        <v>11.23</v>
      </c>
      <c r="L129" s="147">
        <f t="shared" si="22"/>
        <v>0</v>
      </c>
      <c r="M129" s="147">
        <f t="shared" si="23"/>
        <v>94857.67</v>
      </c>
      <c r="N129" s="151">
        <v>9.15</v>
      </c>
      <c r="O129" s="152">
        <f t="shared" si="39"/>
        <v>7.0999999999912689</v>
      </c>
      <c r="P129" s="147">
        <f t="shared" si="32"/>
        <v>94857.67</v>
      </c>
      <c r="Q129" s="147">
        <f t="shared" si="44"/>
        <v>4.223898469504217E-2</v>
      </c>
      <c r="R129" s="149">
        <f t="shared" si="45"/>
        <v>1.0115147672413878</v>
      </c>
      <c r="S129" s="169">
        <f t="shared" si="26"/>
        <v>3.0999999999998806E-3</v>
      </c>
      <c r="T129" s="158">
        <f t="shared" si="33"/>
        <v>0</v>
      </c>
      <c r="U129" s="147">
        <f t="shared" si="34"/>
        <v>94856.36</v>
      </c>
      <c r="V129" s="147">
        <f t="shared" si="35"/>
        <v>94849.260000000009</v>
      </c>
      <c r="W129" s="147">
        <f t="shared" si="46"/>
        <v>3.4772505863722714E-2</v>
      </c>
      <c r="X129" s="149">
        <f t="shared" si="47"/>
        <v>1.0310814453432915</v>
      </c>
      <c r="AA129" s="146">
        <v>11.2331</v>
      </c>
      <c r="AB129" s="150">
        <v>11.23</v>
      </c>
      <c r="AC129" s="151">
        <v>9.15</v>
      </c>
    </row>
    <row r="130" spans="1:29" x14ac:dyDescent="0.3">
      <c r="A130" s="134">
        <v>44564</v>
      </c>
      <c r="B130" s="134">
        <v>44743</v>
      </c>
      <c r="C130" s="135">
        <f>NETWORKDAYS(A130,B130-1,Feriados!$A$2:$A$2000)</f>
        <v>124</v>
      </c>
      <c r="D130" s="128">
        <v>11.273999999999999</v>
      </c>
      <c r="E130" s="137">
        <f t="shared" si="29"/>
        <v>4.0899999999998826E-2</v>
      </c>
      <c r="F130" s="138">
        <f t="shared" si="30"/>
        <v>948.79274199999998</v>
      </c>
      <c r="G130" s="137">
        <f t="shared" si="36"/>
        <v>94879.27</v>
      </c>
      <c r="H130" s="137">
        <f t="shared" si="37"/>
        <v>2.4152307763025682E-2</v>
      </c>
      <c r="I130" s="139">
        <f t="shared" si="38"/>
        <v>1.0123162535304102</v>
      </c>
      <c r="J130" s="134">
        <f t="shared" si="31"/>
        <v>44743</v>
      </c>
      <c r="K130" s="130">
        <v>11.275</v>
      </c>
      <c r="L130" s="137">
        <f t="shared" ref="L130:L193" si="48">+K130-K129</f>
        <v>4.4999999999999929E-2</v>
      </c>
      <c r="M130" s="137">
        <f t="shared" ref="M130:M193" si="49">+ROUND((100000/(1+K130/100)^(C130/252)),2)</f>
        <v>94878.85</v>
      </c>
      <c r="N130" s="127">
        <v>9.15</v>
      </c>
      <c r="O130" s="140">
        <f t="shared" si="39"/>
        <v>-11.779999999998836</v>
      </c>
      <c r="P130" s="137">
        <f t="shared" si="32"/>
        <v>94878.85</v>
      </c>
      <c r="Q130" s="137">
        <f t="shared" si="44"/>
        <v>2.2328189170162105E-2</v>
      </c>
      <c r="R130" s="139">
        <f t="shared" si="45"/>
        <v>1.0117406201721015</v>
      </c>
      <c r="S130" s="169">
        <f t="shared" ref="S130:S193" si="50">+D130-K130</f>
        <v>-1.0000000000012221E-3</v>
      </c>
      <c r="T130" s="157">
        <f t="shared" si="33"/>
        <v>-4.1000000000011028E-3</v>
      </c>
      <c r="U130" s="137">
        <f t="shared" si="34"/>
        <v>94879.27</v>
      </c>
      <c r="V130" s="137">
        <f t="shared" si="35"/>
        <v>94891.05</v>
      </c>
      <c r="W130" s="137">
        <f t="shared" si="46"/>
        <v>3.6571084954140076E-2</v>
      </c>
      <c r="X130" s="139">
        <f t="shared" si="47"/>
        <v>1.0314585230146143</v>
      </c>
      <c r="AA130" s="128">
        <v>11.273999999999999</v>
      </c>
      <c r="AB130" s="130">
        <v>11.275</v>
      </c>
      <c r="AC130" s="127">
        <v>9.15</v>
      </c>
    </row>
    <row r="131" spans="1:29" x14ac:dyDescent="0.3">
      <c r="A131" s="134">
        <v>44565</v>
      </c>
      <c r="B131" s="134">
        <v>44743</v>
      </c>
      <c r="C131" s="135">
        <f>NETWORKDAYS(A131,B131-1,Feriados!$A$2:$A$2000)</f>
        <v>123</v>
      </c>
      <c r="D131" s="128">
        <v>11.3759</v>
      </c>
      <c r="E131" s="137">
        <f t="shared" ref="E131:E194" si="51">+D131-D130</f>
        <v>0.10190000000000055</v>
      </c>
      <c r="F131" s="138">
        <f t="shared" ref="F131:F194" si="52">+TRUNC((1000/(1+D131/100)^(C131/252)),6)</f>
        <v>948.77105100000006</v>
      </c>
      <c r="G131" s="137">
        <f t="shared" si="36"/>
        <v>94877.11</v>
      </c>
      <c r="H131" s="137">
        <f t="shared" si="37"/>
        <v>-2.276577380921907E-3</v>
      </c>
      <c r="I131" s="139">
        <f t="shared" si="38"/>
        <v>1.012293207367559</v>
      </c>
      <c r="J131" s="134">
        <f t="shared" ref="J131:J194" si="53">+J130</f>
        <v>44743</v>
      </c>
      <c r="K131" s="130">
        <v>11.385</v>
      </c>
      <c r="L131" s="137">
        <f t="shared" si="48"/>
        <v>0.10999999999999943</v>
      </c>
      <c r="M131" s="137">
        <f t="shared" si="49"/>
        <v>94873.32</v>
      </c>
      <c r="N131" s="127">
        <v>9.15</v>
      </c>
      <c r="O131" s="140">
        <f t="shared" si="39"/>
        <v>-38.5</v>
      </c>
      <c r="P131" s="137">
        <f t="shared" ref="P131:P194" si="54">+ROUND(((1+N130/100)^(1/252))*P130,2)+O131</f>
        <v>94873.32</v>
      </c>
      <c r="Q131" s="137">
        <f t="shared" si="44"/>
        <v>-5.8284854843826395E-3</v>
      </c>
      <c r="R131" s="139">
        <f t="shared" si="45"/>
        <v>1.0116816510169151</v>
      </c>
      <c r="S131" s="169">
        <f t="shared" si="50"/>
        <v>-9.100000000000108E-3</v>
      </c>
      <c r="T131" s="157">
        <f t="shared" ref="T131:T194" si="55">+S131-S130</f>
        <v>-8.0999999999988859E-3</v>
      </c>
      <c r="U131" s="137">
        <f t="shared" ref="U131:U194" si="56">+G131</f>
        <v>94877.11</v>
      </c>
      <c r="V131" s="137">
        <f t="shared" ref="V131:V194" si="57">+U131-O131</f>
        <v>94915.61</v>
      </c>
      <c r="W131" s="137">
        <f t="shared" si="46"/>
        <v>3.8301306491916876E-2</v>
      </c>
      <c r="X131" s="139">
        <f t="shared" si="47"/>
        <v>1.0318535851048511</v>
      </c>
      <c r="AA131" s="128">
        <v>11.3759</v>
      </c>
      <c r="AB131" s="130">
        <v>11.385</v>
      </c>
      <c r="AC131" s="127">
        <v>9.15</v>
      </c>
    </row>
    <row r="132" spans="1:29" x14ac:dyDescent="0.3">
      <c r="A132" s="134">
        <v>44566</v>
      </c>
      <c r="B132" s="134">
        <v>44743</v>
      </c>
      <c r="C132" s="135">
        <f>NETWORKDAYS(A132,B132-1,Feriados!$A$2:$A$2000)</f>
        <v>122</v>
      </c>
      <c r="D132" s="128">
        <v>11.3919</v>
      </c>
      <c r="E132" s="137">
        <f t="shared" si="51"/>
        <v>1.6000000000000014E-2</v>
      </c>
      <c r="F132" s="138">
        <f t="shared" si="52"/>
        <v>949.110771</v>
      </c>
      <c r="G132" s="137">
        <f t="shared" ref="G132:G195" si="58">ROUND(100*F132,2)</f>
        <v>94911.08</v>
      </c>
      <c r="H132" s="137">
        <f t="shared" ref="H132:H195" si="59">+(G132/G131-1)*100</f>
        <v>3.5804210309531292E-2</v>
      </c>
      <c r="I132" s="139">
        <f t="shared" ref="I132:I195" si="60">+I131*(1+H132/100)</f>
        <v>1.0126556509564739</v>
      </c>
      <c r="J132" s="134">
        <f t="shared" si="53"/>
        <v>44743</v>
      </c>
      <c r="K132" s="130">
        <v>11.414999999999999</v>
      </c>
      <c r="L132" s="137">
        <f t="shared" si="48"/>
        <v>2.9999999999999361E-2</v>
      </c>
      <c r="M132" s="137">
        <f t="shared" si="49"/>
        <v>94901.55</v>
      </c>
      <c r="N132" s="127">
        <v>9.15</v>
      </c>
      <c r="O132" s="140">
        <f t="shared" ref="O132:O195" si="61">M132-(ROUND(((1+N131/100)^(1/252))*M131,2))</f>
        <v>-4.7399999999906868</v>
      </c>
      <c r="P132" s="137">
        <f t="shared" si="54"/>
        <v>94901.55</v>
      </c>
      <c r="Q132" s="137">
        <f t="shared" si="44"/>
        <v>2.9755467606684682E-2</v>
      </c>
      <c r="R132" s="139">
        <f t="shared" si="45"/>
        <v>1.0119826816228663</v>
      </c>
      <c r="S132" s="169">
        <f t="shared" si="50"/>
        <v>-2.3099999999999454E-2</v>
      </c>
      <c r="T132" s="157">
        <f t="shared" si="55"/>
        <v>-1.3999999999999346E-2</v>
      </c>
      <c r="U132" s="137">
        <f t="shared" si="56"/>
        <v>94911.08</v>
      </c>
      <c r="V132" s="137">
        <f t="shared" si="57"/>
        <v>94915.819999999992</v>
      </c>
      <c r="W132" s="137">
        <f t="shared" si="46"/>
        <v>4.0800146631769785E-2</v>
      </c>
      <c r="X132" s="139">
        <f t="shared" si="47"/>
        <v>1.032274582880599</v>
      </c>
      <c r="AA132" s="128">
        <v>11.3919</v>
      </c>
      <c r="AB132" s="130">
        <v>11.414999999999999</v>
      </c>
      <c r="AC132" s="127">
        <v>9.15</v>
      </c>
    </row>
    <row r="133" spans="1:29" x14ac:dyDescent="0.3">
      <c r="A133" s="134">
        <v>44567</v>
      </c>
      <c r="B133" s="134">
        <v>44743</v>
      </c>
      <c r="C133" s="135">
        <f>NETWORKDAYS(A133,B133-1,Feriados!$A$2:$A$2000)</f>
        <v>121</v>
      </c>
      <c r="D133" s="128">
        <v>11.3385</v>
      </c>
      <c r="E133" s="137">
        <f t="shared" si="51"/>
        <v>-5.3399999999999892E-2</v>
      </c>
      <c r="F133" s="138">
        <f t="shared" si="52"/>
        <v>949.73582399999998</v>
      </c>
      <c r="G133" s="137">
        <f t="shared" si="58"/>
        <v>94973.58</v>
      </c>
      <c r="H133" s="137">
        <f t="shared" si="59"/>
        <v>6.5851110323467132E-2</v>
      </c>
      <c r="I133" s="139">
        <f t="shared" si="60"/>
        <v>1.013322495946382</v>
      </c>
      <c r="J133" s="134">
        <f t="shared" si="53"/>
        <v>44743</v>
      </c>
      <c r="K133" s="130">
        <v>11.355</v>
      </c>
      <c r="L133" s="137">
        <f t="shared" si="48"/>
        <v>-5.9999999999998721E-2</v>
      </c>
      <c r="M133" s="137">
        <f t="shared" si="49"/>
        <v>94966.83</v>
      </c>
      <c r="N133" s="127">
        <v>9.15</v>
      </c>
      <c r="O133" s="140">
        <f t="shared" si="61"/>
        <v>32.30000000000291</v>
      </c>
      <c r="P133" s="137">
        <f t="shared" si="54"/>
        <v>94966.83</v>
      </c>
      <c r="Q133" s="137">
        <f t="shared" si="44"/>
        <v>6.878707460520328E-2</v>
      </c>
      <c r="R133" s="139">
        <f t="shared" si="45"/>
        <v>1.012678794905066</v>
      </c>
      <c r="S133" s="169">
        <f t="shared" si="50"/>
        <v>-1.6500000000000625E-2</v>
      </c>
      <c r="T133" s="157">
        <f t="shared" si="55"/>
        <v>6.599999999998829E-3</v>
      </c>
      <c r="U133" s="137">
        <f t="shared" si="56"/>
        <v>94973.58</v>
      </c>
      <c r="V133" s="137">
        <f t="shared" si="57"/>
        <v>94941.28</v>
      </c>
      <c r="W133" s="137">
        <f t="shared" si="46"/>
        <v>3.1819256508303084E-2</v>
      </c>
      <c r="X133" s="139">
        <f t="shared" si="47"/>
        <v>1.0326030449779959</v>
      </c>
      <c r="AA133" s="128">
        <v>11.3385</v>
      </c>
      <c r="AB133" s="130">
        <v>11.355</v>
      </c>
      <c r="AC133" s="127">
        <v>9.15</v>
      </c>
    </row>
    <row r="134" spans="1:29" x14ac:dyDescent="0.3">
      <c r="A134" s="134">
        <v>44568</v>
      </c>
      <c r="B134" s="134">
        <v>44743</v>
      </c>
      <c r="C134" s="135">
        <f>NETWORKDAYS(A134,B134-1,Feriados!$A$2:$A$2000)</f>
        <v>120</v>
      </c>
      <c r="D134" s="128">
        <v>11.352499999999999</v>
      </c>
      <c r="E134" s="137">
        <f t="shared" si="51"/>
        <v>1.3999999999999346E-2</v>
      </c>
      <c r="F134" s="138">
        <f t="shared" si="52"/>
        <v>950.08381099999997</v>
      </c>
      <c r="G134" s="137">
        <f t="shared" si="58"/>
        <v>95008.38</v>
      </c>
      <c r="H134" s="137">
        <f t="shared" si="59"/>
        <v>3.6641769216250175E-2</v>
      </c>
      <c r="I134" s="139">
        <f t="shared" si="60"/>
        <v>1.0136937952367631</v>
      </c>
      <c r="J134" s="134">
        <f t="shared" si="53"/>
        <v>44743</v>
      </c>
      <c r="K134" s="130">
        <v>11.365</v>
      </c>
      <c r="L134" s="137">
        <f t="shared" si="48"/>
        <v>9.9999999999997868E-3</v>
      </c>
      <c r="M134" s="137">
        <f t="shared" si="49"/>
        <v>95003.3</v>
      </c>
      <c r="N134" s="127">
        <v>9.15</v>
      </c>
      <c r="O134" s="140">
        <f t="shared" si="61"/>
        <v>3.4700000000011642</v>
      </c>
      <c r="P134" s="137">
        <f t="shared" si="54"/>
        <v>95003.3</v>
      </c>
      <c r="Q134" s="137">
        <f t="shared" si="44"/>
        <v>3.8402882353771872E-2</v>
      </c>
      <c r="R134" s="139">
        <f t="shared" si="45"/>
        <v>1.0130676927512949</v>
      </c>
      <c r="S134" s="169">
        <f t="shared" si="50"/>
        <v>-1.2500000000001066E-2</v>
      </c>
      <c r="T134" s="157">
        <f t="shared" si="55"/>
        <v>3.9999999999995595E-3</v>
      </c>
      <c r="U134" s="137">
        <f t="shared" si="56"/>
        <v>95008.38</v>
      </c>
      <c r="V134" s="137">
        <f t="shared" si="57"/>
        <v>95004.91</v>
      </c>
      <c r="W134" s="137">
        <f t="shared" si="46"/>
        <v>3.2988121538646276E-2</v>
      </c>
      <c r="X134" s="139">
        <f t="shared" si="47"/>
        <v>1.0329436813254851</v>
      </c>
      <c r="AA134" s="128">
        <v>11.352499999999999</v>
      </c>
      <c r="AB134" s="130">
        <v>11.365</v>
      </c>
      <c r="AC134" s="127">
        <v>9.15</v>
      </c>
    </row>
    <row r="135" spans="1:29" x14ac:dyDescent="0.3">
      <c r="A135" s="134">
        <v>44571</v>
      </c>
      <c r="B135" s="134">
        <v>44743</v>
      </c>
      <c r="C135" s="135">
        <f>NETWORKDAYS(A135,B135-1,Feriados!$A$2:$A$2000)</f>
        <v>119</v>
      </c>
      <c r="D135" s="128">
        <v>11.415800000000001</v>
      </c>
      <c r="E135" s="137">
        <f t="shared" si="51"/>
        <v>6.3300000000001688E-2</v>
      </c>
      <c r="F135" s="138">
        <f t="shared" si="52"/>
        <v>950.23426199999994</v>
      </c>
      <c r="G135" s="137">
        <f t="shared" si="58"/>
        <v>95023.43</v>
      </c>
      <c r="H135" s="137">
        <f t="shared" si="59"/>
        <v>1.584070794595771E-2</v>
      </c>
      <c r="I135" s="139">
        <f t="shared" si="60"/>
        <v>1.0138543715103328</v>
      </c>
      <c r="J135" s="134">
        <f t="shared" si="53"/>
        <v>44743</v>
      </c>
      <c r="K135" s="130">
        <v>11.425000000000001</v>
      </c>
      <c r="L135" s="137">
        <f t="shared" si="48"/>
        <v>6.0000000000000497E-2</v>
      </c>
      <c r="M135" s="137">
        <f t="shared" si="49"/>
        <v>95019.72</v>
      </c>
      <c r="N135" s="127">
        <v>9.15</v>
      </c>
      <c r="O135" s="140">
        <f t="shared" si="61"/>
        <v>-16.589999999996508</v>
      </c>
      <c r="P135" s="137">
        <f t="shared" si="54"/>
        <v>95019.72</v>
      </c>
      <c r="Q135" s="137">
        <f t="shared" si="44"/>
        <v>1.7283610148277617E-2</v>
      </c>
      <c r="R135" s="139">
        <f t="shared" si="45"/>
        <v>1.0132427874218481</v>
      </c>
      <c r="S135" s="169">
        <f t="shared" si="50"/>
        <v>-9.1999999999998749E-3</v>
      </c>
      <c r="T135" s="157">
        <f t="shared" si="55"/>
        <v>3.3000000000011909E-3</v>
      </c>
      <c r="U135" s="137">
        <f t="shared" si="56"/>
        <v>95023.43</v>
      </c>
      <c r="V135" s="137">
        <f t="shared" si="57"/>
        <v>95040.01999999999</v>
      </c>
      <c r="W135" s="137">
        <f t="shared" si="46"/>
        <v>3.3302325542217126E-2</v>
      </c>
      <c r="X135" s="139">
        <f t="shared" si="47"/>
        <v>1.0332876755929079</v>
      </c>
      <c r="AA135" s="128">
        <v>11.415800000000001</v>
      </c>
      <c r="AB135" s="130">
        <v>11.425000000000001</v>
      </c>
      <c r="AC135" s="127">
        <v>9.15</v>
      </c>
    </row>
    <row r="136" spans="1:29" x14ac:dyDescent="0.3">
      <c r="A136" s="134">
        <v>44572</v>
      </c>
      <c r="B136" s="134">
        <v>44743</v>
      </c>
      <c r="C136" s="135">
        <f>NETWORKDAYS(A136,B136-1,Feriados!$A$2:$A$2000)</f>
        <v>118</v>
      </c>
      <c r="D136" s="128">
        <v>11.4125</v>
      </c>
      <c r="E136" s="137">
        <f t="shared" si="51"/>
        <v>-3.3000000000011909E-3</v>
      </c>
      <c r="F136" s="138">
        <f t="shared" si="52"/>
        <v>950.65515100000005</v>
      </c>
      <c r="G136" s="137">
        <f t="shared" si="58"/>
        <v>95065.52</v>
      </c>
      <c r="H136" s="137">
        <f t="shared" si="59"/>
        <v>4.4294338775197062E-2</v>
      </c>
      <c r="I136" s="139">
        <f t="shared" si="60"/>
        <v>1.0143034516003366</v>
      </c>
      <c r="J136" s="134">
        <f t="shared" si="53"/>
        <v>44743</v>
      </c>
      <c r="K136" s="130">
        <v>11.414999999999999</v>
      </c>
      <c r="L136" s="137">
        <f t="shared" si="48"/>
        <v>-1.0000000000001563E-2</v>
      </c>
      <c r="M136" s="137">
        <f t="shared" si="49"/>
        <v>95064.52</v>
      </c>
      <c r="N136" s="127">
        <v>9.15</v>
      </c>
      <c r="O136" s="140">
        <f t="shared" si="61"/>
        <v>11.779999999998836</v>
      </c>
      <c r="P136" s="137">
        <f t="shared" si="54"/>
        <v>95064.52</v>
      </c>
      <c r="Q136" s="137">
        <f t="shared" si="44"/>
        <v>4.7148107782257753E-2</v>
      </c>
      <c r="R136" s="139">
        <f t="shared" si="45"/>
        <v>1.0137205122233577</v>
      </c>
      <c r="S136" s="169">
        <f t="shared" si="50"/>
        <v>-2.4999999999995026E-3</v>
      </c>
      <c r="T136" s="157">
        <f t="shared" si="55"/>
        <v>6.7000000000003723E-3</v>
      </c>
      <c r="U136" s="137">
        <f t="shared" si="56"/>
        <v>95065.52</v>
      </c>
      <c r="V136" s="137">
        <f t="shared" si="57"/>
        <v>95053.74</v>
      </c>
      <c r="W136" s="137">
        <f t="shared" si="46"/>
        <v>3.1897396252711374E-2</v>
      </c>
      <c r="X136" s="139">
        <f t="shared" si="47"/>
        <v>1.0336172674572222</v>
      </c>
      <c r="AA136" s="128">
        <v>11.4125</v>
      </c>
      <c r="AB136" s="130">
        <v>11.414999999999999</v>
      </c>
      <c r="AC136" s="127">
        <v>9.15</v>
      </c>
    </row>
    <row r="137" spans="1:29" x14ac:dyDescent="0.3">
      <c r="A137" s="134">
        <v>44573</v>
      </c>
      <c r="B137" s="134">
        <v>44743</v>
      </c>
      <c r="C137" s="135">
        <f>NETWORKDAYS(A137,B137-1,Feriados!$A$2:$A$2000)</f>
        <v>117</v>
      </c>
      <c r="D137" s="128">
        <v>11.363300000000001</v>
      </c>
      <c r="E137" s="137">
        <f t="shared" si="51"/>
        <v>-4.9199999999999022E-2</v>
      </c>
      <c r="F137" s="138">
        <f t="shared" si="52"/>
        <v>951.25798299999997</v>
      </c>
      <c r="G137" s="137">
        <f t="shared" si="58"/>
        <v>95125.8</v>
      </c>
      <c r="H137" s="137">
        <f t="shared" si="59"/>
        <v>6.3408899462169543E-2</v>
      </c>
      <c r="I137" s="139">
        <f t="shared" si="60"/>
        <v>1.0149466102562033</v>
      </c>
      <c r="J137" s="134">
        <f t="shared" si="53"/>
        <v>44743</v>
      </c>
      <c r="K137" s="130">
        <v>11.365</v>
      </c>
      <c r="L137" s="137">
        <f t="shared" si="48"/>
        <v>-4.9999999999998934E-2</v>
      </c>
      <c r="M137" s="137">
        <f t="shared" si="49"/>
        <v>95125.119999999995</v>
      </c>
      <c r="N137" s="127">
        <v>9.15</v>
      </c>
      <c r="O137" s="140">
        <f t="shared" si="61"/>
        <v>27.569999999992433</v>
      </c>
      <c r="P137" s="137">
        <f t="shared" si="54"/>
        <v>95125.119999999995</v>
      </c>
      <c r="Q137" s="137">
        <f t="shared" si="44"/>
        <v>6.374617996280918E-2</v>
      </c>
      <c r="R137" s="139">
        <f t="shared" si="45"/>
        <v>1.0143667203253994</v>
      </c>
      <c r="S137" s="169">
        <f t="shared" si="50"/>
        <v>-1.6999999999995907E-3</v>
      </c>
      <c r="T137" s="157">
        <f t="shared" si="55"/>
        <v>7.9999999999991189E-4</v>
      </c>
      <c r="U137" s="137">
        <f t="shared" si="56"/>
        <v>95125.8</v>
      </c>
      <c r="V137" s="137">
        <f t="shared" si="57"/>
        <v>95098.23000000001</v>
      </c>
      <c r="W137" s="137">
        <f t="shared" si="46"/>
        <v>3.4407848397610685E-2</v>
      </c>
      <c r="X137" s="139">
        <f t="shared" si="47"/>
        <v>1.0339729129196205</v>
      </c>
      <c r="AA137" s="128">
        <v>11.363300000000001</v>
      </c>
      <c r="AB137" s="130">
        <v>11.365</v>
      </c>
      <c r="AC137" s="127">
        <v>9.15</v>
      </c>
    </row>
    <row r="138" spans="1:29" x14ac:dyDescent="0.3">
      <c r="A138" s="134">
        <v>44574</v>
      </c>
      <c r="B138" s="134">
        <v>44743</v>
      </c>
      <c r="C138" s="135">
        <f>NETWORKDAYS(A138,B138-1,Feriados!$A$2:$A$2000)</f>
        <v>116</v>
      </c>
      <c r="D138" s="128">
        <v>11.4255</v>
      </c>
      <c r="E138" s="137">
        <f t="shared" si="51"/>
        <v>6.2199999999998923E-2</v>
      </c>
      <c r="F138" s="138">
        <f t="shared" si="52"/>
        <v>951.41977099999997</v>
      </c>
      <c r="G138" s="137">
        <f t="shared" si="58"/>
        <v>95141.98</v>
      </c>
      <c r="H138" s="137">
        <f t="shared" si="59"/>
        <v>1.7009055377181781E-2</v>
      </c>
      <c r="I138" s="139">
        <f t="shared" si="60"/>
        <v>1.0151192430871905</v>
      </c>
      <c r="J138" s="134">
        <f t="shared" si="53"/>
        <v>44743</v>
      </c>
      <c r="K138" s="130">
        <v>11.414999999999999</v>
      </c>
      <c r="L138" s="137">
        <f t="shared" si="48"/>
        <v>4.9999999999998934E-2</v>
      </c>
      <c r="M138" s="137">
        <f t="shared" si="49"/>
        <v>95146.1</v>
      </c>
      <c r="N138" s="127">
        <v>9.15</v>
      </c>
      <c r="O138" s="140">
        <f t="shared" si="61"/>
        <v>-12.079999999987194</v>
      </c>
      <c r="P138" s="137">
        <f t="shared" si="54"/>
        <v>95146.1</v>
      </c>
      <c r="Q138" s="137">
        <f t="shared" si="44"/>
        <v>2.2055162716227983E-2</v>
      </c>
      <c r="R138" s="139">
        <f t="shared" si="45"/>
        <v>1.0145904405561064</v>
      </c>
      <c r="S138" s="169">
        <f t="shared" si="50"/>
        <v>1.0500000000000398E-2</v>
      </c>
      <c r="T138" s="157">
        <f t="shared" si="55"/>
        <v>1.2199999999999989E-2</v>
      </c>
      <c r="U138" s="137">
        <f t="shared" si="56"/>
        <v>95141.98</v>
      </c>
      <c r="V138" s="137">
        <f t="shared" si="57"/>
        <v>95154.059999999983</v>
      </c>
      <c r="W138" s="137">
        <f t="shared" si="46"/>
        <v>2.9708028736652459E-2</v>
      </c>
      <c r="X138" s="139">
        <f t="shared" si="47"/>
        <v>1.0342800858897199</v>
      </c>
      <c r="AA138" s="128">
        <v>11.4255</v>
      </c>
      <c r="AB138" s="130">
        <v>11.414999999999999</v>
      </c>
      <c r="AC138" s="127">
        <v>9.15</v>
      </c>
    </row>
    <row r="139" spans="1:29" x14ac:dyDescent="0.3">
      <c r="A139" s="134">
        <v>44575</v>
      </c>
      <c r="B139" s="134">
        <v>44743</v>
      </c>
      <c r="C139" s="135">
        <f>NETWORKDAYS(A139,B139-1,Feriados!$A$2:$A$2000)</f>
        <v>115</v>
      </c>
      <c r="D139" s="128">
        <v>11.4693</v>
      </c>
      <c r="E139" s="137">
        <f t="shared" si="51"/>
        <v>4.3800000000000949E-2</v>
      </c>
      <c r="F139" s="138">
        <f t="shared" si="52"/>
        <v>951.65761699999996</v>
      </c>
      <c r="G139" s="137">
        <f t="shared" si="58"/>
        <v>95165.759999999995</v>
      </c>
      <c r="H139" s="137">
        <f t="shared" si="59"/>
        <v>2.4994224421237554E-2</v>
      </c>
      <c r="I139" s="139">
        <f t="shared" si="60"/>
        <v>1.0153729642689509</v>
      </c>
      <c r="J139" s="134">
        <f t="shared" si="53"/>
        <v>44743</v>
      </c>
      <c r="K139" s="130">
        <v>11.455</v>
      </c>
      <c r="L139" s="137">
        <f t="shared" si="48"/>
        <v>4.0000000000000924E-2</v>
      </c>
      <c r="M139" s="137">
        <f t="shared" si="49"/>
        <v>95171.33</v>
      </c>
      <c r="N139" s="127">
        <v>9.15</v>
      </c>
      <c r="O139" s="140">
        <f t="shared" si="61"/>
        <v>-7.8300000000017462</v>
      </c>
      <c r="P139" s="137">
        <f t="shared" si="54"/>
        <v>95171.33</v>
      </c>
      <c r="Q139" s="137">
        <f t="shared" si="44"/>
        <v>2.6517114206470183E-2</v>
      </c>
      <c r="R139" s="139">
        <f t="shared" si="45"/>
        <v>1.0148594806619566</v>
      </c>
      <c r="S139" s="169">
        <f t="shared" si="50"/>
        <v>1.4300000000000423E-2</v>
      </c>
      <c r="T139" s="157">
        <f t="shared" si="55"/>
        <v>3.8000000000000256E-3</v>
      </c>
      <c r="U139" s="137">
        <f t="shared" si="56"/>
        <v>95165.759999999995</v>
      </c>
      <c r="V139" s="137">
        <f t="shared" si="57"/>
        <v>95173.59</v>
      </c>
      <c r="W139" s="137">
        <f t="shared" si="46"/>
        <v>3.3224030023348838E-2</v>
      </c>
      <c r="X139" s="139">
        <f t="shared" si="47"/>
        <v>1.0346237154159814</v>
      </c>
      <c r="AA139" s="128">
        <v>11.4693</v>
      </c>
      <c r="AB139" s="130">
        <v>11.455</v>
      </c>
      <c r="AC139" s="127">
        <v>9.15</v>
      </c>
    </row>
    <row r="140" spans="1:29" x14ac:dyDescent="0.3">
      <c r="A140" s="134">
        <v>44578</v>
      </c>
      <c r="B140" s="134">
        <v>44743</v>
      </c>
      <c r="C140" s="135">
        <f>NETWORKDAYS(A140,B140-1,Feriados!$A$2:$A$2000)</f>
        <v>114</v>
      </c>
      <c r="D140" s="128">
        <v>11.51</v>
      </c>
      <c r="E140" s="137">
        <f t="shared" si="51"/>
        <v>4.0699999999999292E-2</v>
      </c>
      <c r="F140" s="138">
        <f t="shared" si="52"/>
        <v>951.910529</v>
      </c>
      <c r="G140" s="137">
        <f t="shared" si="58"/>
        <v>95191.05</v>
      </c>
      <c r="H140" s="137">
        <f t="shared" si="59"/>
        <v>2.6574684003999316E-2</v>
      </c>
      <c r="I140" s="139">
        <f t="shared" si="60"/>
        <v>1.0156427964256673</v>
      </c>
      <c r="J140" s="134">
        <f t="shared" si="53"/>
        <v>44743</v>
      </c>
      <c r="K140" s="130">
        <v>11.494999999999999</v>
      </c>
      <c r="L140" s="137">
        <f t="shared" si="48"/>
        <v>3.9999999999999147E-2</v>
      </c>
      <c r="M140" s="137">
        <f t="shared" si="49"/>
        <v>95196.85</v>
      </c>
      <c r="N140" s="127">
        <v>9.15</v>
      </c>
      <c r="O140" s="140">
        <f t="shared" si="61"/>
        <v>-7.5499999999883585</v>
      </c>
      <c r="P140" s="137">
        <f t="shared" si="54"/>
        <v>95196.85</v>
      </c>
      <c r="Q140" s="137">
        <f t="shared" ref="Q140:Q203" si="62">+(P140/P139-1)*100</f>
        <v>2.6814798111995941E-2</v>
      </c>
      <c r="R140" s="139">
        <f t="shared" ref="R140:R203" si="63">+R139*(1+Q140/100)</f>
        <v>1.0151316131828165</v>
      </c>
      <c r="S140" s="169">
        <f t="shared" si="50"/>
        <v>1.5000000000000568E-2</v>
      </c>
      <c r="T140" s="157">
        <f t="shared" si="55"/>
        <v>7.0000000000014495E-4</v>
      </c>
      <c r="U140" s="137">
        <f t="shared" si="56"/>
        <v>95191.05</v>
      </c>
      <c r="V140" s="137">
        <f t="shared" si="57"/>
        <v>95198.599999999991</v>
      </c>
      <c r="W140" s="137">
        <f t="shared" ref="W140:W203" si="64">+(V140/U139-1)*100</f>
        <v>3.4508209675410129E-2</v>
      </c>
      <c r="X140" s="139">
        <f t="shared" ref="X140:X203" si="65">+X139*(1+W140/100)</f>
        <v>1.0349807455370488</v>
      </c>
      <c r="AA140" s="128">
        <v>11.51</v>
      </c>
      <c r="AB140" s="130">
        <v>11.494999999999999</v>
      </c>
      <c r="AC140" s="127">
        <v>9.15</v>
      </c>
    </row>
    <row r="141" spans="1:29" x14ac:dyDescent="0.3">
      <c r="A141" s="134">
        <v>44579</v>
      </c>
      <c r="B141" s="134">
        <v>44743</v>
      </c>
      <c r="C141" s="135">
        <f>NETWORKDAYS(A141,B141-1,Feriados!$A$2:$A$2000)</f>
        <v>113</v>
      </c>
      <c r="D141" s="128">
        <v>11.53</v>
      </c>
      <c r="E141" s="137">
        <f t="shared" si="51"/>
        <v>1.9999999999999574E-2</v>
      </c>
      <c r="F141" s="138">
        <f t="shared" si="52"/>
        <v>952.24556500000006</v>
      </c>
      <c r="G141" s="137">
        <f t="shared" si="58"/>
        <v>95224.56</v>
      </c>
      <c r="H141" s="137">
        <f t="shared" si="59"/>
        <v>3.5202889347263344E-2</v>
      </c>
      <c r="I141" s="139">
        <f t="shared" si="60"/>
        <v>1.0160003320354565</v>
      </c>
      <c r="J141" s="134">
        <f t="shared" si="53"/>
        <v>44743</v>
      </c>
      <c r="K141" s="130">
        <v>11.515000000000001</v>
      </c>
      <c r="L141" s="137">
        <f t="shared" si="48"/>
        <v>2.000000000000135E-2</v>
      </c>
      <c r="M141" s="137">
        <f t="shared" si="49"/>
        <v>95230.3</v>
      </c>
      <c r="N141" s="127">
        <v>9.15</v>
      </c>
      <c r="O141" s="140">
        <f t="shared" si="61"/>
        <v>0.3700000000098953</v>
      </c>
      <c r="P141" s="137">
        <f t="shared" si="54"/>
        <v>95230.3</v>
      </c>
      <c r="Q141" s="137">
        <f t="shared" si="62"/>
        <v>3.513771726690873E-2</v>
      </c>
      <c r="R141" s="139">
        <f t="shared" si="63"/>
        <v>1.0154883072589438</v>
      </c>
      <c r="S141" s="169">
        <f t="shared" si="50"/>
        <v>1.4999999999998792E-2</v>
      </c>
      <c r="T141" s="157">
        <f t="shared" si="55"/>
        <v>-1.7763568394002505E-15</v>
      </c>
      <c r="U141" s="137">
        <f t="shared" si="56"/>
        <v>95224.56</v>
      </c>
      <c r="V141" s="137">
        <f t="shared" si="57"/>
        <v>95224.189999999988</v>
      </c>
      <c r="W141" s="137">
        <f t="shared" si="64"/>
        <v>3.4814197343124853E-2</v>
      </c>
      <c r="X141" s="139">
        <f t="shared" si="65"/>
        <v>1.0353410657762634</v>
      </c>
      <c r="AA141" s="128">
        <v>11.53</v>
      </c>
      <c r="AB141" s="130">
        <v>11.515000000000001</v>
      </c>
      <c r="AC141" s="127">
        <v>9.15</v>
      </c>
    </row>
    <row r="142" spans="1:29" x14ac:dyDescent="0.3">
      <c r="A142" s="134">
        <v>44580</v>
      </c>
      <c r="B142" s="134">
        <v>44743</v>
      </c>
      <c r="C142" s="135">
        <f>NETWORKDAYS(A142,B142-1,Feriados!$A$2:$A$2000)</f>
        <v>112</v>
      </c>
      <c r="D142" s="128">
        <v>11.53</v>
      </c>
      <c r="E142" s="137">
        <f t="shared" si="51"/>
        <v>0</v>
      </c>
      <c r="F142" s="138">
        <f t="shared" si="52"/>
        <v>952.658005</v>
      </c>
      <c r="G142" s="137">
        <f t="shared" si="58"/>
        <v>95265.8</v>
      </c>
      <c r="H142" s="137">
        <f t="shared" si="59"/>
        <v>4.3308154954990741E-2</v>
      </c>
      <c r="I142" s="139">
        <f t="shared" si="60"/>
        <v>1.0164403430335975</v>
      </c>
      <c r="J142" s="134">
        <f t="shared" si="53"/>
        <v>44743</v>
      </c>
      <c r="K142" s="130">
        <v>11.515000000000001</v>
      </c>
      <c r="L142" s="137">
        <f t="shared" si="48"/>
        <v>0</v>
      </c>
      <c r="M142" s="137">
        <f t="shared" si="49"/>
        <v>95271.5</v>
      </c>
      <c r="N142" s="127">
        <v>9.15</v>
      </c>
      <c r="O142" s="140">
        <f t="shared" si="61"/>
        <v>8.1100000000005821</v>
      </c>
      <c r="P142" s="137">
        <f t="shared" si="54"/>
        <v>95271.5</v>
      </c>
      <c r="Q142" s="137">
        <f t="shared" si="62"/>
        <v>4.3263541120830418E-2</v>
      </c>
      <c r="R142" s="139">
        <f t="shared" si="63"/>
        <v>1.0159276434603319</v>
      </c>
      <c r="S142" s="169">
        <f t="shared" si="50"/>
        <v>1.4999999999998792E-2</v>
      </c>
      <c r="T142" s="157">
        <f t="shared" si="55"/>
        <v>0</v>
      </c>
      <c r="U142" s="137">
        <f t="shared" si="56"/>
        <v>95265.8</v>
      </c>
      <c r="V142" s="137">
        <f t="shared" si="57"/>
        <v>95257.69</v>
      </c>
      <c r="W142" s="137">
        <f t="shared" si="64"/>
        <v>3.4791444560111628E-2</v>
      </c>
      <c r="X142" s="139">
        <f t="shared" si="65"/>
        <v>1.035701275889171</v>
      </c>
      <c r="AA142" s="128">
        <v>11.53</v>
      </c>
      <c r="AB142" s="130">
        <v>11.515000000000001</v>
      </c>
      <c r="AC142" s="127">
        <v>9.15</v>
      </c>
    </row>
    <row r="143" spans="1:29" x14ac:dyDescent="0.3">
      <c r="A143" s="134">
        <v>44581</v>
      </c>
      <c r="B143" s="134">
        <v>44743</v>
      </c>
      <c r="C143" s="135">
        <f>NETWORKDAYS(A143,B143-1,Feriados!$A$2:$A$2000)</f>
        <v>111</v>
      </c>
      <c r="D143" s="128">
        <v>11.5063</v>
      </c>
      <c r="E143" s="137">
        <f t="shared" si="51"/>
        <v>-2.3699999999999832E-2</v>
      </c>
      <c r="F143" s="138">
        <f t="shared" si="52"/>
        <v>953.15984500000002</v>
      </c>
      <c r="G143" s="137">
        <f t="shared" si="58"/>
        <v>95315.98</v>
      </c>
      <c r="H143" s="137">
        <f t="shared" si="59"/>
        <v>5.2673677227277338E-2</v>
      </c>
      <c r="I143" s="139">
        <f t="shared" si="60"/>
        <v>1.0169757395390948</v>
      </c>
      <c r="J143" s="134">
        <f t="shared" si="53"/>
        <v>44743</v>
      </c>
      <c r="K143" s="130">
        <v>11.49</v>
      </c>
      <c r="L143" s="137">
        <f t="shared" si="48"/>
        <v>-2.5000000000000355E-2</v>
      </c>
      <c r="M143" s="137">
        <f t="shared" si="49"/>
        <v>95322.12</v>
      </c>
      <c r="N143" s="127">
        <v>9.15</v>
      </c>
      <c r="O143" s="140">
        <f t="shared" si="61"/>
        <v>17.509999999994761</v>
      </c>
      <c r="P143" s="137">
        <f t="shared" si="54"/>
        <v>95322.12</v>
      </c>
      <c r="Q143" s="137">
        <f t="shared" si="62"/>
        <v>5.3132363823382711E-2</v>
      </c>
      <c r="R143" s="139">
        <f t="shared" si="63"/>
        <v>1.0164674298320375</v>
      </c>
      <c r="S143" s="169">
        <f t="shared" si="50"/>
        <v>1.6299999999999315E-2</v>
      </c>
      <c r="T143" s="157">
        <f t="shared" si="55"/>
        <v>1.300000000000523E-3</v>
      </c>
      <c r="U143" s="137">
        <f t="shared" si="56"/>
        <v>95315.98</v>
      </c>
      <c r="V143" s="137">
        <f t="shared" si="57"/>
        <v>95298.47</v>
      </c>
      <c r="W143" s="137">
        <f t="shared" si="64"/>
        <v>3.4293524013873089E-2</v>
      </c>
      <c r="X143" s="139">
        <f t="shared" si="65"/>
        <v>1.03605645435493</v>
      </c>
      <c r="AA143" s="128">
        <v>11.5063</v>
      </c>
      <c r="AB143" s="130">
        <v>11.49</v>
      </c>
      <c r="AC143" s="127">
        <v>9.15</v>
      </c>
    </row>
    <row r="144" spans="1:29" x14ac:dyDescent="0.3">
      <c r="A144" s="134">
        <v>44582</v>
      </c>
      <c r="B144" s="134">
        <v>44743</v>
      </c>
      <c r="C144" s="135">
        <f>NETWORKDAYS(A144,B144-1,Feriados!$A$2:$A$2000)</f>
        <v>110</v>
      </c>
      <c r="D144" s="128">
        <v>11.515000000000001</v>
      </c>
      <c r="E144" s="137">
        <f t="shared" si="51"/>
        <v>8.7000000000010402E-3</v>
      </c>
      <c r="F144" s="138">
        <f t="shared" si="52"/>
        <v>953.539402</v>
      </c>
      <c r="G144" s="137">
        <f t="shared" si="58"/>
        <v>95353.94</v>
      </c>
      <c r="H144" s="137">
        <f t="shared" si="59"/>
        <v>3.9825431160656066E-2</v>
      </c>
      <c r="I144" s="139">
        <f t="shared" si="60"/>
        <v>1.0173807545121656</v>
      </c>
      <c r="J144" s="134">
        <f t="shared" si="53"/>
        <v>44743</v>
      </c>
      <c r="K144" s="130">
        <v>11.5</v>
      </c>
      <c r="L144" s="137">
        <f t="shared" si="48"/>
        <v>9.9999999999997868E-3</v>
      </c>
      <c r="M144" s="137">
        <f t="shared" si="49"/>
        <v>95359.54</v>
      </c>
      <c r="N144" s="127">
        <v>9.15</v>
      </c>
      <c r="O144" s="140">
        <f t="shared" si="61"/>
        <v>4.2999999999883585</v>
      </c>
      <c r="P144" s="137">
        <f t="shared" si="54"/>
        <v>95359.54</v>
      </c>
      <c r="Q144" s="137">
        <f t="shared" si="62"/>
        <v>3.9256365678808081E-2</v>
      </c>
      <c r="R144" s="139">
        <f t="shared" si="63"/>
        <v>1.0168664580032984</v>
      </c>
      <c r="S144" s="169">
        <f t="shared" si="50"/>
        <v>1.5000000000000568E-2</v>
      </c>
      <c r="T144" s="157">
        <f t="shared" si="55"/>
        <v>-1.2999999999987466E-3</v>
      </c>
      <c r="U144" s="137">
        <f t="shared" si="56"/>
        <v>95353.94</v>
      </c>
      <c r="V144" s="137">
        <f t="shared" si="57"/>
        <v>95349.640000000014</v>
      </c>
      <c r="W144" s="137">
        <f t="shared" si="64"/>
        <v>3.531412046544613E-2</v>
      </c>
      <c r="X144" s="139">
        <f t="shared" si="65"/>
        <v>1.0364223285793108</v>
      </c>
      <c r="AA144" s="128">
        <v>11.515000000000001</v>
      </c>
      <c r="AB144" s="130">
        <v>11.5</v>
      </c>
      <c r="AC144" s="127">
        <v>9.15</v>
      </c>
    </row>
    <row r="145" spans="1:29" x14ac:dyDescent="0.3">
      <c r="A145" s="134">
        <v>44585</v>
      </c>
      <c r="B145" s="134">
        <v>44743</v>
      </c>
      <c r="C145" s="135">
        <f>NETWORKDAYS(A145,B145-1,Feriados!$A$2:$A$2000)</f>
        <v>109</v>
      </c>
      <c r="D145" s="128">
        <v>11.5151</v>
      </c>
      <c r="E145" s="137">
        <f t="shared" si="51"/>
        <v>9.9999999999766942E-5</v>
      </c>
      <c r="F145" s="138">
        <f t="shared" si="52"/>
        <v>953.95152299999995</v>
      </c>
      <c r="G145" s="137">
        <f t="shared" si="58"/>
        <v>95395.15</v>
      </c>
      <c r="H145" s="137">
        <f t="shared" si="59"/>
        <v>4.3217931005257171E-2</v>
      </c>
      <c r="I145" s="139">
        <f t="shared" si="60"/>
        <v>1.0178204454247115</v>
      </c>
      <c r="J145" s="134">
        <f t="shared" si="53"/>
        <v>44743</v>
      </c>
      <c r="K145" s="130">
        <v>11.5</v>
      </c>
      <c r="L145" s="137">
        <f t="shared" si="48"/>
        <v>0</v>
      </c>
      <c r="M145" s="137">
        <f t="shared" si="49"/>
        <v>95400.74</v>
      </c>
      <c r="N145" s="127">
        <v>9.15</v>
      </c>
      <c r="O145" s="140">
        <f t="shared" si="61"/>
        <v>8.0600000000122236</v>
      </c>
      <c r="P145" s="137">
        <f t="shared" si="54"/>
        <v>95400.74</v>
      </c>
      <c r="Q145" s="137">
        <f t="shared" si="62"/>
        <v>4.3204906399507692E-2</v>
      </c>
      <c r="R145" s="139">
        <f t="shared" si="63"/>
        <v>1.0173057942046868</v>
      </c>
      <c r="S145" s="169">
        <f t="shared" si="50"/>
        <v>1.5100000000000335E-2</v>
      </c>
      <c r="T145" s="157">
        <f t="shared" si="55"/>
        <v>9.9999999999766942E-5</v>
      </c>
      <c r="U145" s="137">
        <f t="shared" si="56"/>
        <v>95395.15</v>
      </c>
      <c r="V145" s="137">
        <f t="shared" si="57"/>
        <v>95387.089999999982</v>
      </c>
      <c r="W145" s="137">
        <f t="shared" si="64"/>
        <v>3.4765212638276921E-2</v>
      </c>
      <c r="X145" s="139">
        <f t="shared" si="65"/>
        <v>1.0367826430056719</v>
      </c>
      <c r="AA145" s="128">
        <v>11.5151</v>
      </c>
      <c r="AB145" s="130">
        <v>11.5</v>
      </c>
      <c r="AC145" s="127">
        <v>9.15</v>
      </c>
    </row>
    <row r="146" spans="1:29" s="153" customFormat="1" x14ac:dyDescent="0.3">
      <c r="A146" s="134">
        <v>44586</v>
      </c>
      <c r="B146" s="134">
        <v>44743</v>
      </c>
      <c r="C146" s="135">
        <f>NETWORKDAYS(A146,B146-1,Feriados!$A$2:$A$2000)</f>
        <v>108</v>
      </c>
      <c r="D146" s="146">
        <v>11.52</v>
      </c>
      <c r="E146" s="137">
        <f t="shared" si="51"/>
        <v>4.8999999999992383E-3</v>
      </c>
      <c r="F146" s="138">
        <f t="shared" si="52"/>
        <v>954.34622400000001</v>
      </c>
      <c r="G146" s="137">
        <f t="shared" si="58"/>
        <v>95434.62</v>
      </c>
      <c r="H146" s="137">
        <f t="shared" si="59"/>
        <v>4.1375269078147703E-2</v>
      </c>
      <c r="I146" s="139">
        <f t="shared" si="60"/>
        <v>1.0182415713727384</v>
      </c>
      <c r="J146" s="134">
        <f t="shared" si="53"/>
        <v>44743</v>
      </c>
      <c r="K146" s="150">
        <v>11.505000000000001</v>
      </c>
      <c r="L146" s="137">
        <f t="shared" si="48"/>
        <v>5.0000000000007816E-3</v>
      </c>
      <c r="M146" s="137">
        <f t="shared" si="49"/>
        <v>95440.12</v>
      </c>
      <c r="N146" s="127">
        <v>9.15</v>
      </c>
      <c r="O146" s="140">
        <f t="shared" si="61"/>
        <v>6.2299999999959255</v>
      </c>
      <c r="P146" s="137">
        <f t="shared" si="54"/>
        <v>95440.12</v>
      </c>
      <c r="Q146" s="137">
        <f t="shared" si="62"/>
        <v>4.1278505806130461E-2</v>
      </c>
      <c r="R146" s="139">
        <f t="shared" si="63"/>
        <v>1.0177257228360137</v>
      </c>
      <c r="S146" s="169">
        <f t="shared" si="50"/>
        <v>1.4999999999998792E-2</v>
      </c>
      <c r="T146" s="157">
        <f t="shared" si="55"/>
        <v>-1.000000000015433E-4</v>
      </c>
      <c r="U146" s="137">
        <f t="shared" si="56"/>
        <v>95434.62</v>
      </c>
      <c r="V146" s="137">
        <f t="shared" si="57"/>
        <v>95428.39</v>
      </c>
      <c r="W146" s="137">
        <f t="shared" si="64"/>
        <v>3.4844538742273556E-2</v>
      </c>
      <c r="X146" s="139">
        <f t="shared" si="65"/>
        <v>1.0371439051353872</v>
      </c>
      <c r="AA146" s="146">
        <v>11.52</v>
      </c>
      <c r="AB146" s="150">
        <v>11.505000000000001</v>
      </c>
      <c r="AC146" s="151">
        <v>9.15</v>
      </c>
    </row>
    <row r="147" spans="1:29" x14ac:dyDescent="0.3">
      <c r="A147" s="134">
        <v>44587</v>
      </c>
      <c r="B147" s="134">
        <v>44743</v>
      </c>
      <c r="C147" s="135">
        <f>NETWORKDAYS(A147,B147-1,Feriados!$A$2:$A$2000)</f>
        <v>107</v>
      </c>
      <c r="D147" s="128">
        <v>11.6195</v>
      </c>
      <c r="E147" s="137">
        <f t="shared" si="51"/>
        <v>9.950000000000081E-2</v>
      </c>
      <c r="F147" s="138">
        <f t="shared" si="52"/>
        <v>954.39776400000005</v>
      </c>
      <c r="G147" s="137">
        <f t="shared" si="58"/>
        <v>95439.78</v>
      </c>
      <c r="H147" s="137">
        <f t="shared" si="59"/>
        <v>5.4068429255593742E-3</v>
      </c>
      <c r="I147" s="139">
        <f t="shared" si="60"/>
        <v>1.0182966260951052</v>
      </c>
      <c r="J147" s="134">
        <f t="shared" si="53"/>
        <v>44743</v>
      </c>
      <c r="K147" s="130">
        <v>11.605</v>
      </c>
      <c r="L147" s="137">
        <f t="shared" si="48"/>
        <v>9.9999999999999645E-2</v>
      </c>
      <c r="M147" s="137">
        <f t="shared" si="49"/>
        <v>95445.04</v>
      </c>
      <c r="N147" s="127">
        <v>9.15</v>
      </c>
      <c r="O147" s="140">
        <f t="shared" si="61"/>
        <v>-28.240000000005239</v>
      </c>
      <c r="P147" s="137">
        <f t="shared" si="54"/>
        <v>95445.04</v>
      </c>
      <c r="Q147" s="137">
        <f t="shared" si="62"/>
        <v>5.1550647673037631E-3</v>
      </c>
      <c r="R147" s="139">
        <f t="shared" si="63"/>
        <v>1.0177781872561793</v>
      </c>
      <c r="S147" s="169">
        <f t="shared" si="50"/>
        <v>1.4499999999999957E-2</v>
      </c>
      <c r="T147" s="157">
        <f t="shared" si="55"/>
        <v>-4.9999999999883471E-4</v>
      </c>
      <c r="U147" s="137">
        <f t="shared" si="56"/>
        <v>95439.78</v>
      </c>
      <c r="V147" s="137">
        <f t="shared" si="57"/>
        <v>95468.02</v>
      </c>
      <c r="W147" s="137">
        <f t="shared" si="64"/>
        <v>3.4997781727441613E-2</v>
      </c>
      <c r="X147" s="139">
        <f t="shared" si="65"/>
        <v>1.037506882495506</v>
      </c>
      <c r="AA147" s="128">
        <v>11.6195</v>
      </c>
      <c r="AB147" s="130">
        <v>11.605</v>
      </c>
      <c r="AC147" s="127">
        <v>9.15</v>
      </c>
    </row>
    <row r="148" spans="1:29" x14ac:dyDescent="0.3">
      <c r="A148" s="134">
        <v>44588</v>
      </c>
      <c r="B148" s="134">
        <v>44743</v>
      </c>
      <c r="C148" s="135">
        <f>NETWORKDAYS(A148,B148-1,Feriados!$A$2:$A$2000)</f>
        <v>106</v>
      </c>
      <c r="D148" s="128">
        <v>11.7263</v>
      </c>
      <c r="E148" s="137">
        <f t="shared" si="51"/>
        <v>0.10679999999999978</v>
      </c>
      <c r="F148" s="138">
        <f t="shared" si="52"/>
        <v>954.43015000000003</v>
      </c>
      <c r="G148" s="137">
        <f t="shared" si="58"/>
        <v>95443.02</v>
      </c>
      <c r="H148" s="137">
        <f t="shared" si="59"/>
        <v>3.3948108430381652E-3</v>
      </c>
      <c r="I148" s="139">
        <f t="shared" si="60"/>
        <v>1.0183311953393821</v>
      </c>
      <c r="J148" s="134">
        <f t="shared" si="53"/>
        <v>44743</v>
      </c>
      <c r="K148" s="130">
        <v>11.71</v>
      </c>
      <c r="L148" s="137">
        <f t="shared" si="48"/>
        <v>0.10500000000000043</v>
      </c>
      <c r="M148" s="137">
        <f t="shared" si="49"/>
        <v>95448.87</v>
      </c>
      <c r="N148" s="127">
        <v>9.15</v>
      </c>
      <c r="O148" s="140">
        <f t="shared" si="61"/>
        <v>-29.340000000011059</v>
      </c>
      <c r="P148" s="137">
        <f t="shared" si="54"/>
        <v>95448.87</v>
      </c>
      <c r="Q148" s="137">
        <f t="shared" si="62"/>
        <v>4.0127805488898716E-3</v>
      </c>
      <c r="R148" s="139">
        <f t="shared" si="63"/>
        <v>1.0178190284613085</v>
      </c>
      <c r="S148" s="169">
        <f t="shared" si="50"/>
        <v>1.6299999999999315E-2</v>
      </c>
      <c r="T148" s="157">
        <f t="shared" si="55"/>
        <v>1.7999999999993577E-3</v>
      </c>
      <c r="U148" s="137">
        <f t="shared" si="56"/>
        <v>95443.02</v>
      </c>
      <c r="V148" s="137">
        <f t="shared" si="57"/>
        <v>95472.360000000015</v>
      </c>
      <c r="W148" s="137">
        <f t="shared" si="64"/>
        <v>3.4136709032672741E-2</v>
      </c>
      <c r="X148" s="139">
        <f t="shared" si="65"/>
        <v>1.0378610532011774</v>
      </c>
      <c r="AA148" s="128">
        <v>11.7263</v>
      </c>
      <c r="AB148" s="130">
        <v>11.71</v>
      </c>
      <c r="AC148" s="127">
        <v>9.15</v>
      </c>
    </row>
    <row r="149" spans="1:29" x14ac:dyDescent="0.3">
      <c r="A149" s="134">
        <v>44589</v>
      </c>
      <c r="B149" s="134">
        <v>44743</v>
      </c>
      <c r="C149" s="135">
        <f>NETWORKDAYS(A149,B149-1,Feriados!$A$2:$A$2000)</f>
        <v>105</v>
      </c>
      <c r="D149" s="128">
        <v>11.726800000000001</v>
      </c>
      <c r="E149" s="137">
        <f t="shared" si="51"/>
        <v>5.0000000000061107E-4</v>
      </c>
      <c r="F149" s="138">
        <f t="shared" si="52"/>
        <v>954.84841800000004</v>
      </c>
      <c r="G149" s="137">
        <f t="shared" si="58"/>
        <v>95484.84</v>
      </c>
      <c r="H149" s="137">
        <f t="shared" si="59"/>
        <v>4.3816719127276471E-2</v>
      </c>
      <c r="I149" s="139">
        <f t="shared" si="60"/>
        <v>1.0187773946590295</v>
      </c>
      <c r="J149" s="134">
        <f t="shared" si="53"/>
        <v>44743</v>
      </c>
      <c r="K149" s="130">
        <v>11.71</v>
      </c>
      <c r="L149" s="137">
        <f t="shared" si="48"/>
        <v>0</v>
      </c>
      <c r="M149" s="137">
        <f t="shared" si="49"/>
        <v>95490.82</v>
      </c>
      <c r="N149" s="127">
        <v>9.15</v>
      </c>
      <c r="O149" s="140">
        <f t="shared" si="61"/>
        <v>8.7800000000133878</v>
      </c>
      <c r="P149" s="137">
        <f t="shared" si="54"/>
        <v>95490.82</v>
      </c>
      <c r="Q149" s="137">
        <f t="shared" si="62"/>
        <v>4.3950232202871753E-2</v>
      </c>
      <c r="R149" s="139">
        <f t="shared" si="63"/>
        <v>1.0182663622877222</v>
      </c>
      <c r="S149" s="169">
        <f t="shared" si="50"/>
        <v>1.6799999999999926E-2</v>
      </c>
      <c r="T149" s="157">
        <f t="shared" si="55"/>
        <v>5.0000000000061107E-4</v>
      </c>
      <c r="U149" s="137">
        <f t="shared" si="56"/>
        <v>95484.84</v>
      </c>
      <c r="V149" s="137">
        <f t="shared" si="57"/>
        <v>95476.059999999983</v>
      </c>
      <c r="W149" s="137">
        <f t="shared" si="64"/>
        <v>3.461751315074757E-2</v>
      </c>
      <c r="X149" s="139">
        <f t="shared" si="65"/>
        <v>1.0382203348877559</v>
      </c>
      <c r="AA149" s="128">
        <v>11.726800000000001</v>
      </c>
      <c r="AB149" s="130">
        <v>11.71</v>
      </c>
      <c r="AC149" s="127">
        <v>9.15</v>
      </c>
    </row>
    <row r="150" spans="1:29" x14ac:dyDescent="0.3">
      <c r="A150" s="134">
        <v>44592</v>
      </c>
      <c r="B150" s="134">
        <v>44743</v>
      </c>
      <c r="C150" s="135">
        <f>NETWORKDAYS(A150,B150-1,Feriados!$A$2:$A$2000)</f>
        <v>104</v>
      </c>
      <c r="D150" s="128">
        <v>11.7735</v>
      </c>
      <c r="E150" s="137">
        <f t="shared" si="51"/>
        <v>4.669999999999952E-2</v>
      </c>
      <c r="F150" s="138">
        <f t="shared" si="52"/>
        <v>955.10393199999999</v>
      </c>
      <c r="G150" s="137">
        <f t="shared" si="58"/>
        <v>95510.39</v>
      </c>
      <c r="H150" s="137">
        <f t="shared" si="59"/>
        <v>2.6758174386642963E-2</v>
      </c>
      <c r="I150" s="139">
        <f t="shared" si="60"/>
        <v>1.019050000890904</v>
      </c>
      <c r="J150" s="134">
        <f t="shared" si="53"/>
        <v>44743</v>
      </c>
      <c r="K150" s="130">
        <v>11.765000000000001</v>
      </c>
      <c r="L150" s="137">
        <f t="shared" si="48"/>
        <v>5.4999999999999716E-2</v>
      </c>
      <c r="M150" s="137">
        <f t="shared" si="49"/>
        <v>95513.39</v>
      </c>
      <c r="N150" s="127">
        <v>9.15</v>
      </c>
      <c r="O150" s="140">
        <f t="shared" si="61"/>
        <v>-10.610000000000582</v>
      </c>
      <c r="P150" s="137">
        <f t="shared" si="54"/>
        <v>95513.39</v>
      </c>
      <c r="Q150" s="137">
        <f t="shared" si="62"/>
        <v>2.3635779858199868E-2</v>
      </c>
      <c r="R150" s="139">
        <f t="shared" si="63"/>
        <v>1.0185070374834826</v>
      </c>
      <c r="S150" s="169">
        <f t="shared" si="50"/>
        <v>8.49999999999973E-3</v>
      </c>
      <c r="T150" s="157">
        <f t="shared" si="55"/>
        <v>-8.3000000000001961E-3</v>
      </c>
      <c r="U150" s="137">
        <f t="shared" si="56"/>
        <v>95510.39</v>
      </c>
      <c r="V150" s="137">
        <f t="shared" si="57"/>
        <v>95521</v>
      </c>
      <c r="W150" s="137">
        <f t="shared" si="64"/>
        <v>3.7869885942098946E-2</v>
      </c>
      <c r="X150" s="139">
        <f t="shared" si="65"/>
        <v>1.0386135077444056</v>
      </c>
      <c r="AA150" s="128">
        <v>11.7735</v>
      </c>
      <c r="AB150" s="130">
        <v>11.765000000000001</v>
      </c>
      <c r="AC150" s="127">
        <v>9.15</v>
      </c>
    </row>
    <row r="151" spans="1:29" x14ac:dyDescent="0.3">
      <c r="A151" s="134">
        <v>44593</v>
      </c>
      <c r="B151" s="134">
        <v>44743</v>
      </c>
      <c r="C151" s="135">
        <f>NETWORKDAYS(A151,B151-1,Feriados!$A$2:$A$2000)</f>
        <v>103</v>
      </c>
      <c r="D151" s="128">
        <v>11.7506</v>
      </c>
      <c r="E151" s="137">
        <f t="shared" si="51"/>
        <v>-2.289999999999992E-2</v>
      </c>
      <c r="F151" s="138">
        <f t="shared" si="52"/>
        <v>955.605906</v>
      </c>
      <c r="G151" s="137">
        <f t="shared" si="58"/>
        <v>95560.59</v>
      </c>
      <c r="H151" s="137">
        <f t="shared" si="59"/>
        <v>5.2559726748047098E-2</v>
      </c>
      <c r="I151" s="139">
        <f t="shared" si="60"/>
        <v>1.0195856107867982</v>
      </c>
      <c r="J151" s="134">
        <f t="shared" si="53"/>
        <v>44743</v>
      </c>
      <c r="K151" s="130">
        <v>11.744999999999999</v>
      </c>
      <c r="L151" s="137">
        <f t="shared" si="48"/>
        <v>-2.000000000000135E-2</v>
      </c>
      <c r="M151" s="137">
        <f t="shared" si="49"/>
        <v>95562.55</v>
      </c>
      <c r="N151" s="127">
        <v>9.15</v>
      </c>
      <c r="O151" s="140">
        <f t="shared" si="61"/>
        <v>15.970000000001164</v>
      </c>
      <c r="P151" s="137">
        <f t="shared" si="54"/>
        <v>95562.55</v>
      </c>
      <c r="Q151" s="137">
        <f t="shared" si="62"/>
        <v>5.1469223320421698E-2</v>
      </c>
      <c r="R151" s="139">
        <f t="shared" si="63"/>
        <v>1.0190312551451393</v>
      </c>
      <c r="S151" s="169">
        <f t="shared" si="50"/>
        <v>5.6000000000011596E-3</v>
      </c>
      <c r="T151" s="157">
        <f t="shared" si="55"/>
        <v>-2.8999999999985704E-3</v>
      </c>
      <c r="U151" s="137">
        <f t="shared" si="56"/>
        <v>95560.59</v>
      </c>
      <c r="V151" s="137">
        <f t="shared" si="57"/>
        <v>95544.62</v>
      </c>
      <c r="W151" s="137">
        <f t="shared" si="64"/>
        <v>3.5839032800510928E-2</v>
      </c>
      <c r="X151" s="139">
        <f t="shared" si="65"/>
        <v>1.0389857367801167</v>
      </c>
      <c r="AA151" s="128">
        <v>11.7506</v>
      </c>
      <c r="AB151" s="130">
        <v>11.744999999999999</v>
      </c>
      <c r="AC151" s="127">
        <v>9.15</v>
      </c>
    </row>
    <row r="152" spans="1:29" x14ac:dyDescent="0.3">
      <c r="A152" s="134">
        <v>44594</v>
      </c>
      <c r="B152" s="134">
        <v>44743</v>
      </c>
      <c r="C152" s="135">
        <f>NETWORKDAYS(A152,B152-1,Feriados!$A$2:$A$2000)</f>
        <v>102</v>
      </c>
      <c r="D152" s="128">
        <v>11.7446</v>
      </c>
      <c r="E152" s="137">
        <f t="shared" si="51"/>
        <v>-6.0000000000002274E-3</v>
      </c>
      <c r="F152" s="138">
        <f t="shared" si="52"/>
        <v>956.04807500000004</v>
      </c>
      <c r="G152" s="137">
        <f t="shared" si="58"/>
        <v>95604.81</v>
      </c>
      <c r="H152" s="137">
        <f t="shared" si="59"/>
        <v>4.6274306175808633E-2</v>
      </c>
      <c r="I152" s="139">
        <f t="shared" si="60"/>
        <v>1.0200574169540582</v>
      </c>
      <c r="J152" s="134">
        <f t="shared" si="53"/>
        <v>44743</v>
      </c>
      <c r="K152" s="130">
        <v>11.74</v>
      </c>
      <c r="L152" s="137">
        <f t="shared" si="48"/>
        <v>-4.9999999999990052E-3</v>
      </c>
      <c r="M152" s="137">
        <f t="shared" si="49"/>
        <v>95606.399999999994</v>
      </c>
      <c r="N152" s="127">
        <v>9.15</v>
      </c>
      <c r="O152" s="140">
        <f t="shared" si="61"/>
        <v>10.639999999999418</v>
      </c>
      <c r="P152" s="137">
        <f t="shared" si="54"/>
        <v>95606.399999999994</v>
      </c>
      <c r="Q152" s="137">
        <f t="shared" si="62"/>
        <v>4.5886176122333922E-2</v>
      </c>
      <c r="R152" s="139">
        <f t="shared" si="63"/>
        <v>1.0194988496216169</v>
      </c>
      <c r="S152" s="169">
        <f t="shared" si="50"/>
        <v>4.5999999999999375E-3</v>
      </c>
      <c r="T152" s="157">
        <f t="shared" si="55"/>
        <v>-1.0000000000012221E-3</v>
      </c>
      <c r="U152" s="137">
        <f t="shared" si="56"/>
        <v>95604.81</v>
      </c>
      <c r="V152" s="137">
        <f t="shared" si="57"/>
        <v>95594.17</v>
      </c>
      <c r="W152" s="137">
        <f t="shared" si="64"/>
        <v>3.5140009076961576E-2</v>
      </c>
      <c r="X152" s="139">
        <f t="shared" si="65"/>
        <v>1.0393508364623296</v>
      </c>
      <c r="AA152" s="128">
        <v>11.7446</v>
      </c>
      <c r="AB152" s="130">
        <v>11.74</v>
      </c>
      <c r="AC152" s="127">
        <v>9.15</v>
      </c>
    </row>
    <row r="153" spans="1:29" x14ac:dyDescent="0.3">
      <c r="A153" s="134">
        <v>44595</v>
      </c>
      <c r="B153" s="134">
        <v>44743</v>
      </c>
      <c r="C153" s="135">
        <f>NETWORKDAYS(A153,B153-1,Feriados!$A$2:$A$2000)</f>
        <v>101</v>
      </c>
      <c r="D153" s="128">
        <v>11.595000000000001</v>
      </c>
      <c r="E153" s="137">
        <f t="shared" si="51"/>
        <v>-0.14959999999999951</v>
      </c>
      <c r="F153" s="138">
        <f t="shared" si="52"/>
        <v>956.98315200000002</v>
      </c>
      <c r="G153" s="137">
        <f t="shared" si="58"/>
        <v>95698.32</v>
      </c>
      <c r="H153" s="137">
        <f t="shared" si="59"/>
        <v>9.780888639390195E-2</v>
      </c>
      <c r="I153" s="139">
        <f t="shared" si="60"/>
        <v>1.0210551237541594</v>
      </c>
      <c r="J153" s="134">
        <f t="shared" si="53"/>
        <v>44743</v>
      </c>
      <c r="K153" s="130">
        <v>11.59</v>
      </c>
      <c r="L153" s="137">
        <f t="shared" si="48"/>
        <v>-0.15000000000000036</v>
      </c>
      <c r="M153" s="137">
        <f t="shared" si="49"/>
        <v>95700.03</v>
      </c>
      <c r="N153" s="127">
        <v>9.15</v>
      </c>
      <c r="O153" s="140">
        <f t="shared" si="61"/>
        <v>60.410000000003492</v>
      </c>
      <c r="P153" s="137">
        <f t="shared" si="54"/>
        <v>95700.03</v>
      </c>
      <c r="Q153" s="137">
        <f t="shared" si="62"/>
        <v>9.7932774374931419E-2</v>
      </c>
      <c r="R153" s="139">
        <f t="shared" si="63"/>
        <v>1.0204972731297719</v>
      </c>
      <c r="S153" s="169">
        <f t="shared" si="50"/>
        <v>5.0000000000007816E-3</v>
      </c>
      <c r="T153" s="157">
        <f t="shared" si="55"/>
        <v>4.0000000000084412E-4</v>
      </c>
      <c r="U153" s="137">
        <f t="shared" si="56"/>
        <v>95698.32</v>
      </c>
      <c r="V153" s="137">
        <f t="shared" si="57"/>
        <v>95637.91</v>
      </c>
      <c r="W153" s="137">
        <f t="shared" si="64"/>
        <v>3.4621689013358825E-2</v>
      </c>
      <c r="X153" s="139">
        <f t="shared" si="65"/>
        <v>1.0397106772766873</v>
      </c>
      <c r="AA153" s="128">
        <v>11.595000000000001</v>
      </c>
      <c r="AB153" s="130">
        <v>11.59</v>
      </c>
      <c r="AC153" s="127">
        <v>9.15</v>
      </c>
    </row>
    <row r="154" spans="1:29" x14ac:dyDescent="0.3">
      <c r="A154" s="134">
        <v>44596</v>
      </c>
      <c r="B154" s="134">
        <v>44743</v>
      </c>
      <c r="C154" s="135">
        <f>NETWORKDAYS(A154,B154-1,Feriados!$A$2:$A$2000)</f>
        <v>100</v>
      </c>
      <c r="D154" s="128">
        <v>11.63</v>
      </c>
      <c r="E154" s="137">
        <f t="shared" si="51"/>
        <v>3.5000000000000142E-2</v>
      </c>
      <c r="F154" s="138">
        <f t="shared" si="52"/>
        <v>957.28072699999996</v>
      </c>
      <c r="G154" s="137">
        <f t="shared" si="58"/>
        <v>95728.07</v>
      </c>
      <c r="H154" s="137">
        <f t="shared" si="59"/>
        <v>3.1087275095309508E-2</v>
      </c>
      <c r="I154" s="139">
        <f t="shared" si="60"/>
        <v>1.0213725419693556</v>
      </c>
      <c r="J154" s="134">
        <f t="shared" si="53"/>
        <v>44743</v>
      </c>
      <c r="K154" s="130">
        <v>11.625</v>
      </c>
      <c r="L154" s="137">
        <f t="shared" si="48"/>
        <v>3.5000000000000142E-2</v>
      </c>
      <c r="M154" s="137">
        <f t="shared" si="49"/>
        <v>95729.77</v>
      </c>
      <c r="N154" s="127">
        <v>10.65</v>
      </c>
      <c r="O154" s="140">
        <f t="shared" si="61"/>
        <v>-3.5199999999895226</v>
      </c>
      <c r="P154" s="137">
        <f t="shared" si="54"/>
        <v>95729.77</v>
      </c>
      <c r="Q154" s="137">
        <f t="shared" si="62"/>
        <v>3.1076270300034459E-2</v>
      </c>
      <c r="R154" s="139">
        <f t="shared" si="63"/>
        <v>1.0208144056207742</v>
      </c>
      <c r="S154" s="169">
        <f t="shared" si="50"/>
        <v>5.0000000000007816E-3</v>
      </c>
      <c r="T154" s="157">
        <f t="shared" si="55"/>
        <v>0</v>
      </c>
      <c r="U154" s="137">
        <f t="shared" si="56"/>
        <v>95728.07</v>
      </c>
      <c r="V154" s="137">
        <f t="shared" si="57"/>
        <v>95731.59</v>
      </c>
      <c r="W154" s="137">
        <f t="shared" si="64"/>
        <v>3.4765500585587361E-2</v>
      </c>
      <c r="X154" s="139">
        <f t="shared" si="65"/>
        <v>1.0400721378982845</v>
      </c>
      <c r="AA154" s="128">
        <v>11.63</v>
      </c>
      <c r="AB154" s="130">
        <v>11.625</v>
      </c>
      <c r="AC154" s="127">
        <v>10.65</v>
      </c>
    </row>
    <row r="155" spans="1:29" x14ac:dyDescent="0.3">
      <c r="A155" s="134">
        <v>44599</v>
      </c>
      <c r="B155" s="134">
        <v>44743</v>
      </c>
      <c r="C155" s="135">
        <f>NETWORKDAYS(A155,B155-1,Feriados!$A$2:$A$2000)</f>
        <v>99</v>
      </c>
      <c r="D155" s="128">
        <v>11.635</v>
      </c>
      <c r="E155" s="137">
        <f t="shared" si="51"/>
        <v>4.9999999999990052E-3</v>
      </c>
      <c r="F155" s="138">
        <f t="shared" si="52"/>
        <v>957.68190200000004</v>
      </c>
      <c r="G155" s="137">
        <f t="shared" si="58"/>
        <v>95768.19</v>
      </c>
      <c r="H155" s="137">
        <f t="shared" si="59"/>
        <v>4.1910382189880302E-2</v>
      </c>
      <c r="I155" s="139">
        <f t="shared" si="60"/>
        <v>1.0218006031052773</v>
      </c>
      <c r="J155" s="134">
        <f t="shared" si="53"/>
        <v>44743</v>
      </c>
      <c r="K155" s="130">
        <v>11.63</v>
      </c>
      <c r="L155" s="137">
        <f t="shared" si="48"/>
        <v>5.0000000000007816E-3</v>
      </c>
      <c r="M155" s="137">
        <f t="shared" si="49"/>
        <v>95769.88</v>
      </c>
      <c r="N155" s="127">
        <v>10.65</v>
      </c>
      <c r="O155" s="140">
        <f t="shared" si="61"/>
        <v>1.6600000000034925</v>
      </c>
      <c r="P155" s="137">
        <f t="shared" si="54"/>
        <v>95769.88</v>
      </c>
      <c r="Q155" s="137">
        <f t="shared" si="62"/>
        <v>4.1899191860594875E-2</v>
      </c>
      <c r="R155" s="139">
        <f t="shared" si="63"/>
        <v>1.0212421186071259</v>
      </c>
      <c r="S155" s="169">
        <f t="shared" si="50"/>
        <v>4.9999999999990052E-3</v>
      </c>
      <c r="T155" s="157">
        <f t="shared" si="55"/>
        <v>-1.7763568394002505E-15</v>
      </c>
      <c r="U155" s="137">
        <f t="shared" si="56"/>
        <v>95768.19</v>
      </c>
      <c r="V155" s="137">
        <f t="shared" si="57"/>
        <v>95766.53</v>
      </c>
      <c r="W155" s="137">
        <f t="shared" si="64"/>
        <v>4.0176303564876115E-2</v>
      </c>
      <c r="X155" s="139">
        <f t="shared" si="65"/>
        <v>1.0404900004377002</v>
      </c>
      <c r="AA155" s="128">
        <v>11.635</v>
      </c>
      <c r="AB155" s="130">
        <v>11.63</v>
      </c>
      <c r="AC155" s="127">
        <v>10.65</v>
      </c>
    </row>
    <row r="156" spans="1:29" x14ac:dyDescent="0.3">
      <c r="A156" s="134">
        <v>44600</v>
      </c>
      <c r="B156" s="134">
        <v>44743</v>
      </c>
      <c r="C156" s="135">
        <f>NETWORKDAYS(A156,B156-1,Feriados!$A$2:$A$2000)</f>
        <v>98</v>
      </c>
      <c r="D156" s="128">
        <v>11.7</v>
      </c>
      <c r="E156" s="137">
        <f t="shared" si="51"/>
        <v>6.4999999999999503E-2</v>
      </c>
      <c r="F156" s="138">
        <f t="shared" si="52"/>
        <v>957.88341700000001</v>
      </c>
      <c r="G156" s="137">
        <f t="shared" si="58"/>
        <v>95788.34</v>
      </c>
      <c r="H156" s="137">
        <f t="shared" si="59"/>
        <v>2.1040389298354611E-2</v>
      </c>
      <c r="I156" s="139">
        <f t="shared" si="60"/>
        <v>1.0220155939300235</v>
      </c>
      <c r="J156" s="134">
        <f t="shared" si="53"/>
        <v>44743</v>
      </c>
      <c r="K156" s="130">
        <v>11.695</v>
      </c>
      <c r="L156" s="137">
        <f t="shared" si="48"/>
        <v>6.4999999999999503E-2</v>
      </c>
      <c r="M156" s="137">
        <f t="shared" si="49"/>
        <v>95790.01</v>
      </c>
      <c r="N156" s="127">
        <v>10.65</v>
      </c>
      <c r="O156" s="140">
        <f t="shared" si="61"/>
        <v>-18.340000000011059</v>
      </c>
      <c r="P156" s="137">
        <f t="shared" si="54"/>
        <v>95790.01</v>
      </c>
      <c r="Q156" s="137">
        <f t="shared" si="62"/>
        <v>2.1019134617272783E-2</v>
      </c>
      <c r="R156" s="139">
        <f t="shared" si="63"/>
        <v>1.0214567748628043</v>
      </c>
      <c r="S156" s="169">
        <f t="shared" si="50"/>
        <v>4.9999999999990052E-3</v>
      </c>
      <c r="T156" s="157">
        <f t="shared" si="55"/>
        <v>0</v>
      </c>
      <c r="U156" s="137">
        <f t="shared" si="56"/>
        <v>95788.34</v>
      </c>
      <c r="V156" s="137">
        <f t="shared" si="57"/>
        <v>95806.680000000008</v>
      </c>
      <c r="W156" s="137">
        <f t="shared" si="64"/>
        <v>4.0190798218087131E-2</v>
      </c>
      <c r="X156" s="139">
        <f t="shared" si="65"/>
        <v>1.0409081816742556</v>
      </c>
      <c r="AA156" s="128">
        <v>11.7</v>
      </c>
      <c r="AB156" s="130">
        <v>11.695</v>
      </c>
      <c r="AC156" s="127">
        <v>10.65</v>
      </c>
    </row>
    <row r="157" spans="1:29" x14ac:dyDescent="0.3">
      <c r="A157" s="134">
        <v>44601</v>
      </c>
      <c r="B157" s="134">
        <v>44743</v>
      </c>
      <c r="C157" s="135">
        <f>NETWORKDAYS(A157,B157-1,Feriados!$A$2:$A$2000)</f>
        <v>97</v>
      </c>
      <c r="D157" s="128">
        <v>11.745200000000001</v>
      </c>
      <c r="E157" s="137">
        <f t="shared" si="51"/>
        <v>4.5200000000001239E-2</v>
      </c>
      <c r="F157" s="138">
        <f t="shared" si="52"/>
        <v>958.15486699999997</v>
      </c>
      <c r="G157" s="137">
        <f t="shared" si="58"/>
        <v>95815.49</v>
      </c>
      <c r="H157" s="137">
        <f t="shared" si="59"/>
        <v>2.834374204627732E-2</v>
      </c>
      <c r="I157" s="139">
        <f t="shared" si="60"/>
        <v>1.0223052713936398</v>
      </c>
      <c r="J157" s="134">
        <f t="shared" si="53"/>
        <v>44743</v>
      </c>
      <c r="K157" s="130">
        <v>11.74</v>
      </c>
      <c r="L157" s="137">
        <f t="shared" si="48"/>
        <v>4.4999999999999929E-2</v>
      </c>
      <c r="M157" s="137">
        <f t="shared" si="49"/>
        <v>95817.2</v>
      </c>
      <c r="N157" s="127">
        <v>10.65</v>
      </c>
      <c r="O157" s="140">
        <f t="shared" si="61"/>
        <v>-11.290000000008149</v>
      </c>
      <c r="P157" s="137">
        <f t="shared" si="54"/>
        <v>95817.2</v>
      </c>
      <c r="Q157" s="137">
        <f t="shared" si="62"/>
        <v>2.8385005910336325E-2</v>
      </c>
      <c r="R157" s="139">
        <f t="shared" si="63"/>
        <v>1.0217467154287205</v>
      </c>
      <c r="S157" s="169">
        <f t="shared" si="50"/>
        <v>5.2000000000003155E-3</v>
      </c>
      <c r="T157" s="157">
        <f t="shared" si="55"/>
        <v>2.0000000000131024E-4</v>
      </c>
      <c r="U157" s="137">
        <f t="shared" si="56"/>
        <v>95815.49</v>
      </c>
      <c r="V157" s="137">
        <f t="shared" si="57"/>
        <v>95826.780000000013</v>
      </c>
      <c r="W157" s="137">
        <f t="shared" si="64"/>
        <v>4.0130145276573437E-2</v>
      </c>
      <c r="X157" s="139">
        <f t="shared" si="65"/>
        <v>1.0413258996397572</v>
      </c>
      <c r="AA157" s="128">
        <v>11.745200000000001</v>
      </c>
      <c r="AB157" s="130">
        <v>11.74</v>
      </c>
      <c r="AC157" s="127">
        <v>10.65</v>
      </c>
    </row>
    <row r="158" spans="1:29" x14ac:dyDescent="0.3">
      <c r="A158" s="134">
        <v>44602</v>
      </c>
      <c r="B158" s="134">
        <v>44743</v>
      </c>
      <c r="C158" s="135">
        <f>NETWORKDAYS(A158,B158-1,Feriados!$A$2:$A$2000)</f>
        <v>96</v>
      </c>
      <c r="D158" s="128">
        <v>11.779500000000001</v>
      </c>
      <c r="E158" s="137">
        <f t="shared" si="51"/>
        <v>3.4299999999999997E-2</v>
      </c>
      <c r="F158" s="138">
        <f t="shared" si="52"/>
        <v>958.46513300000004</v>
      </c>
      <c r="G158" s="137">
        <f t="shared" si="58"/>
        <v>95846.51</v>
      </c>
      <c r="H158" s="137">
        <f t="shared" si="59"/>
        <v>3.23747235441596E-2</v>
      </c>
      <c r="I158" s="139">
        <f t="shared" si="60"/>
        <v>1.022636239899031</v>
      </c>
      <c r="J158" s="134">
        <f t="shared" si="53"/>
        <v>44743</v>
      </c>
      <c r="K158" s="130">
        <v>11.785</v>
      </c>
      <c r="L158" s="137">
        <f t="shared" si="48"/>
        <v>4.4999999999999929E-2</v>
      </c>
      <c r="M158" s="137">
        <f t="shared" si="49"/>
        <v>95844.72</v>
      </c>
      <c r="N158" s="127">
        <v>10.65</v>
      </c>
      <c r="O158" s="140">
        <f t="shared" si="61"/>
        <v>-10.970000000001164</v>
      </c>
      <c r="P158" s="137">
        <f t="shared" si="54"/>
        <v>95844.72</v>
      </c>
      <c r="Q158" s="137">
        <f t="shared" si="62"/>
        <v>2.8721356917138507E-2</v>
      </c>
      <c r="R158" s="139">
        <f t="shared" si="63"/>
        <v>1.0220401749496479</v>
      </c>
      <c r="S158" s="169">
        <f t="shared" si="50"/>
        <v>-5.4999999999996163E-3</v>
      </c>
      <c r="T158" s="157">
        <f t="shared" si="55"/>
        <v>-1.0699999999999932E-2</v>
      </c>
      <c r="U158" s="137">
        <f t="shared" si="56"/>
        <v>95846.51</v>
      </c>
      <c r="V158" s="137">
        <f t="shared" si="57"/>
        <v>95857.48</v>
      </c>
      <c r="W158" s="137">
        <f t="shared" si="64"/>
        <v>4.3823811786580791E-2</v>
      </c>
      <c r="X158" s="139">
        <f t="shared" si="65"/>
        <v>1.0417822483421002</v>
      </c>
      <c r="AA158" s="128">
        <v>11.779500000000001</v>
      </c>
      <c r="AB158" s="130">
        <v>11.785</v>
      </c>
      <c r="AC158" s="127">
        <v>10.65</v>
      </c>
    </row>
    <row r="159" spans="1:29" x14ac:dyDescent="0.3">
      <c r="A159" s="134">
        <v>44603</v>
      </c>
      <c r="B159" s="134">
        <v>44743</v>
      </c>
      <c r="C159" s="135">
        <f>NETWORKDAYS(A159,B159-1,Feriados!$A$2:$A$2000)</f>
        <v>95</v>
      </c>
      <c r="D159" s="128">
        <v>11.8157</v>
      </c>
      <c r="E159" s="137">
        <f t="shared" si="51"/>
        <v>3.6199999999999122E-2</v>
      </c>
      <c r="F159" s="138">
        <f t="shared" si="52"/>
        <v>958.77172800000005</v>
      </c>
      <c r="G159" s="137">
        <f t="shared" si="58"/>
        <v>95877.17</v>
      </c>
      <c r="H159" s="137">
        <f t="shared" si="59"/>
        <v>3.1988645178637753E-2</v>
      </c>
      <c r="I159" s="139">
        <f t="shared" si="60"/>
        <v>1.0229633673772804</v>
      </c>
      <c r="J159" s="134">
        <f t="shared" si="53"/>
        <v>44743</v>
      </c>
      <c r="K159" s="130">
        <v>11.83</v>
      </c>
      <c r="L159" s="137">
        <f t="shared" si="48"/>
        <v>4.4999999999999929E-2</v>
      </c>
      <c r="M159" s="137">
        <f t="shared" si="49"/>
        <v>95872.55</v>
      </c>
      <c r="N159" s="127">
        <v>10.65</v>
      </c>
      <c r="O159" s="140">
        <f t="shared" si="61"/>
        <v>-10.669999999998254</v>
      </c>
      <c r="P159" s="137">
        <f t="shared" si="54"/>
        <v>95872.55</v>
      </c>
      <c r="Q159" s="137">
        <f t="shared" si="62"/>
        <v>2.9036549952876634E-2</v>
      </c>
      <c r="R159" s="139">
        <f t="shared" si="63"/>
        <v>1.0223369401555857</v>
      </c>
      <c r="S159" s="169">
        <f t="shared" si="50"/>
        <v>-1.4300000000000423E-2</v>
      </c>
      <c r="T159" s="157">
        <f t="shared" si="55"/>
        <v>-8.8000000000008072E-3</v>
      </c>
      <c r="U159" s="137">
        <f t="shared" si="56"/>
        <v>95877.17</v>
      </c>
      <c r="V159" s="137">
        <f t="shared" si="57"/>
        <v>95887.84</v>
      </c>
      <c r="W159" s="137">
        <f t="shared" si="64"/>
        <v>4.3121027567938341E-2</v>
      </c>
      <c r="X159" s="139">
        <f t="shared" si="65"/>
        <v>1.0422314755526056</v>
      </c>
      <c r="AA159" s="128">
        <v>11.8157</v>
      </c>
      <c r="AB159" s="130">
        <v>11.83</v>
      </c>
      <c r="AC159" s="127">
        <v>10.65</v>
      </c>
    </row>
    <row r="160" spans="1:29" x14ac:dyDescent="0.3">
      <c r="A160" s="134">
        <v>44606</v>
      </c>
      <c r="B160" s="134">
        <v>44743</v>
      </c>
      <c r="C160" s="135">
        <f>NETWORKDAYS(A160,B160-1,Feriados!$A$2:$A$2000)</f>
        <v>94</v>
      </c>
      <c r="D160" s="128">
        <v>11.847</v>
      </c>
      <c r="E160" s="137">
        <f t="shared" si="51"/>
        <v>3.1299999999999883E-2</v>
      </c>
      <c r="F160" s="138">
        <f t="shared" si="52"/>
        <v>959.09659499999998</v>
      </c>
      <c r="G160" s="137">
        <f t="shared" si="58"/>
        <v>95909.66</v>
      </c>
      <c r="H160" s="137">
        <f t="shared" si="59"/>
        <v>3.3887107848507014E-2</v>
      </c>
      <c r="I160" s="139">
        <f t="shared" si="60"/>
        <v>1.0233100200768344</v>
      </c>
      <c r="J160" s="134">
        <f t="shared" si="53"/>
        <v>44743</v>
      </c>
      <c r="K160" s="130">
        <v>11.865</v>
      </c>
      <c r="L160" s="137">
        <f t="shared" si="48"/>
        <v>3.5000000000000142E-2</v>
      </c>
      <c r="M160" s="137">
        <f t="shared" si="49"/>
        <v>95903.9</v>
      </c>
      <c r="N160" s="127">
        <v>10.65</v>
      </c>
      <c r="O160" s="140">
        <f t="shared" si="61"/>
        <v>-7.1600000000034925</v>
      </c>
      <c r="P160" s="137">
        <f t="shared" si="54"/>
        <v>95903.9</v>
      </c>
      <c r="Q160" s="137">
        <f t="shared" si="62"/>
        <v>3.26996622077802E-2</v>
      </c>
      <c r="R160" s="139">
        <f t="shared" si="63"/>
        <v>1.0226712408816421</v>
      </c>
      <c r="S160" s="169">
        <f t="shared" si="50"/>
        <v>-1.8000000000000682E-2</v>
      </c>
      <c r="T160" s="157">
        <f t="shared" si="55"/>
        <v>-3.7000000000002586E-3</v>
      </c>
      <c r="U160" s="137">
        <f t="shared" si="56"/>
        <v>95909.66</v>
      </c>
      <c r="V160" s="137">
        <f t="shared" si="57"/>
        <v>95916.82</v>
      </c>
      <c r="W160" s="137">
        <f t="shared" si="64"/>
        <v>4.1354996189402193E-2</v>
      </c>
      <c r="X160" s="139">
        <f t="shared" si="65"/>
        <v>1.0426624903396051</v>
      </c>
      <c r="AA160" s="128">
        <v>11.847</v>
      </c>
      <c r="AB160" s="130">
        <v>11.865</v>
      </c>
      <c r="AC160" s="127">
        <v>10.65</v>
      </c>
    </row>
    <row r="161" spans="1:29" x14ac:dyDescent="0.3">
      <c r="A161" s="134">
        <v>44607</v>
      </c>
      <c r="B161" s="134">
        <v>44743</v>
      </c>
      <c r="C161" s="135">
        <f>NETWORKDAYS(A161,B161-1,Feriados!$A$2:$A$2000)</f>
        <v>93</v>
      </c>
      <c r="D161" s="128">
        <v>11.817500000000001</v>
      </c>
      <c r="E161" s="137">
        <f t="shared" si="51"/>
        <v>-2.9499999999998749E-2</v>
      </c>
      <c r="F161" s="138">
        <f t="shared" si="52"/>
        <v>959.61622399999999</v>
      </c>
      <c r="G161" s="137">
        <f t="shared" si="58"/>
        <v>95961.62</v>
      </c>
      <c r="H161" s="137">
        <f t="shared" si="59"/>
        <v>5.4175981856241506E-2</v>
      </c>
      <c r="I161" s="139">
        <f t="shared" si="60"/>
        <v>1.0238644083276442</v>
      </c>
      <c r="J161" s="134">
        <f t="shared" si="53"/>
        <v>44743</v>
      </c>
      <c r="K161" s="130">
        <v>11.835000000000001</v>
      </c>
      <c r="L161" s="137">
        <f t="shared" si="48"/>
        <v>-2.9999999999999361E-2</v>
      </c>
      <c r="M161" s="137">
        <f t="shared" si="49"/>
        <v>95956.08</v>
      </c>
      <c r="N161" s="127">
        <v>10.65</v>
      </c>
      <c r="O161" s="140">
        <f t="shared" si="61"/>
        <v>13.660000000003492</v>
      </c>
      <c r="P161" s="137">
        <f t="shared" si="54"/>
        <v>95956.08</v>
      </c>
      <c r="Q161" s="137">
        <f t="shared" si="62"/>
        <v>5.4408631974300903E-2</v>
      </c>
      <c r="R161" s="139">
        <f t="shared" si="63"/>
        <v>1.0232276623134005</v>
      </c>
      <c r="S161" s="169">
        <f t="shared" si="50"/>
        <v>-1.7500000000000071E-2</v>
      </c>
      <c r="T161" s="157">
        <f t="shared" si="55"/>
        <v>5.0000000000061107E-4</v>
      </c>
      <c r="U161" s="137">
        <f t="shared" si="56"/>
        <v>95961.62</v>
      </c>
      <c r="V161" s="137">
        <f t="shared" si="57"/>
        <v>95947.959999999992</v>
      </c>
      <c r="W161" s="137">
        <f t="shared" si="64"/>
        <v>3.9933412338233332E-2</v>
      </c>
      <c r="X161" s="139">
        <f t="shared" si="65"/>
        <v>1.0430788610511685</v>
      </c>
      <c r="AA161" s="128">
        <v>11.817500000000001</v>
      </c>
      <c r="AB161" s="130">
        <v>11.835000000000001</v>
      </c>
      <c r="AC161" s="127">
        <v>10.65</v>
      </c>
    </row>
    <row r="162" spans="1:29" x14ac:dyDescent="0.3">
      <c r="A162" s="134">
        <v>44608</v>
      </c>
      <c r="B162" s="134">
        <v>44743</v>
      </c>
      <c r="C162" s="135">
        <f>NETWORKDAYS(A162,B162-1,Feriados!$A$2:$A$2000)</f>
        <v>92</v>
      </c>
      <c r="D162" s="128">
        <v>11.822900000000001</v>
      </c>
      <c r="E162" s="137">
        <f t="shared" si="51"/>
        <v>5.3999999999998494E-3</v>
      </c>
      <c r="F162" s="138">
        <f t="shared" si="52"/>
        <v>960.02473799999996</v>
      </c>
      <c r="G162" s="137">
        <f t="shared" si="58"/>
        <v>96002.47</v>
      </c>
      <c r="H162" s="137">
        <f t="shared" si="59"/>
        <v>4.2569102105627366E-2</v>
      </c>
      <c r="I162" s="139">
        <f t="shared" si="60"/>
        <v>1.0243002582130485</v>
      </c>
      <c r="J162" s="134">
        <f t="shared" si="53"/>
        <v>44743</v>
      </c>
      <c r="K162" s="130">
        <v>11.84</v>
      </c>
      <c r="L162" s="137">
        <f t="shared" si="48"/>
        <v>4.9999999999990052E-3</v>
      </c>
      <c r="M162" s="137">
        <f t="shared" si="49"/>
        <v>95997.11</v>
      </c>
      <c r="N162" s="127">
        <v>10.65</v>
      </c>
      <c r="O162" s="140">
        <f t="shared" si="61"/>
        <v>2.4900000000052387</v>
      </c>
      <c r="P162" s="137">
        <f t="shared" si="54"/>
        <v>95997.11</v>
      </c>
      <c r="Q162" s="137">
        <f t="shared" si="62"/>
        <v>4.2759145642468077E-2</v>
      </c>
      <c r="R162" s="139">
        <f t="shared" si="63"/>
        <v>1.0236651857197832</v>
      </c>
      <c r="S162" s="169">
        <f t="shared" si="50"/>
        <v>-1.7099999999999227E-2</v>
      </c>
      <c r="T162" s="157">
        <f t="shared" si="55"/>
        <v>4.0000000000084412E-4</v>
      </c>
      <c r="U162" s="137">
        <f t="shared" si="56"/>
        <v>96002.47</v>
      </c>
      <c r="V162" s="137">
        <f t="shared" si="57"/>
        <v>95999.98</v>
      </c>
      <c r="W162" s="137">
        <f t="shared" si="64"/>
        <v>3.9974314731239247E-2</v>
      </c>
      <c r="X162" s="139">
        <f t="shared" si="65"/>
        <v>1.0434958246779802</v>
      </c>
      <c r="AA162" s="128">
        <v>11.822900000000001</v>
      </c>
      <c r="AB162" s="130">
        <v>11.84</v>
      </c>
      <c r="AC162" s="127">
        <v>10.65</v>
      </c>
    </row>
    <row r="163" spans="1:29" x14ac:dyDescent="0.3">
      <c r="A163" s="134">
        <v>44609</v>
      </c>
      <c r="B163" s="134">
        <v>44743</v>
      </c>
      <c r="C163" s="135">
        <f>NETWORKDAYS(A163,B163-1,Feriados!$A$2:$A$2000)</f>
        <v>91</v>
      </c>
      <c r="D163" s="128">
        <v>11.837999999999999</v>
      </c>
      <c r="E163" s="137">
        <f t="shared" si="51"/>
        <v>1.5099999999998559E-2</v>
      </c>
      <c r="F163" s="138">
        <f t="shared" si="52"/>
        <v>960.40371300000004</v>
      </c>
      <c r="G163" s="137">
        <f t="shared" si="58"/>
        <v>96040.37</v>
      </c>
      <c r="H163" s="137">
        <f t="shared" si="59"/>
        <v>3.9478150926730571E-2</v>
      </c>
      <c r="I163" s="139">
        <f t="shared" si="60"/>
        <v>1.0247046330149288</v>
      </c>
      <c r="J163" s="134">
        <f t="shared" si="53"/>
        <v>44743</v>
      </c>
      <c r="K163" s="130">
        <v>11.855</v>
      </c>
      <c r="L163" s="137">
        <f t="shared" si="48"/>
        <v>1.5000000000000568E-2</v>
      </c>
      <c r="M163" s="137">
        <f t="shared" si="49"/>
        <v>96035.1</v>
      </c>
      <c r="N163" s="127">
        <v>10.65</v>
      </c>
      <c r="O163" s="140">
        <f t="shared" si="61"/>
        <v>-0.569999999992433</v>
      </c>
      <c r="P163" s="137">
        <f t="shared" si="54"/>
        <v>96035.1</v>
      </c>
      <c r="Q163" s="137">
        <f t="shared" si="62"/>
        <v>3.9574108012208065E-2</v>
      </c>
      <c r="R163" s="139">
        <f t="shared" si="63"/>
        <v>1.0240702920860634</v>
      </c>
      <c r="S163" s="169">
        <f t="shared" si="50"/>
        <v>-1.7000000000001236E-2</v>
      </c>
      <c r="T163" s="157">
        <f t="shared" si="55"/>
        <v>9.9999999997990585E-5</v>
      </c>
      <c r="U163" s="137">
        <f t="shared" si="56"/>
        <v>96040.37</v>
      </c>
      <c r="V163" s="137">
        <f t="shared" si="57"/>
        <v>96040.939999999988</v>
      </c>
      <c r="W163" s="137">
        <f t="shared" si="64"/>
        <v>4.0071885650427852E-2</v>
      </c>
      <c r="X163" s="139">
        <f t="shared" si="65"/>
        <v>1.043913973131612</v>
      </c>
      <c r="AA163" s="128">
        <v>11.837999999999999</v>
      </c>
      <c r="AB163" s="130">
        <v>11.855</v>
      </c>
      <c r="AC163" s="127">
        <v>10.65</v>
      </c>
    </row>
    <row r="164" spans="1:29" x14ac:dyDescent="0.3">
      <c r="A164" s="134">
        <v>44610</v>
      </c>
      <c r="B164" s="134">
        <v>44743</v>
      </c>
      <c r="C164" s="135">
        <f>NETWORKDAYS(A164,B164-1,Feriados!$A$2:$A$2000)</f>
        <v>90</v>
      </c>
      <c r="D164" s="128">
        <v>11.8344</v>
      </c>
      <c r="E164" s="137">
        <f t="shared" si="51"/>
        <v>-3.5999999999987153E-3</v>
      </c>
      <c r="F164" s="138">
        <f t="shared" si="52"/>
        <v>960.84124699999995</v>
      </c>
      <c r="G164" s="137">
        <f t="shared" si="58"/>
        <v>96084.12</v>
      </c>
      <c r="H164" s="137">
        <f t="shared" si="59"/>
        <v>4.5553760361394247E-2</v>
      </c>
      <c r="I164" s="139">
        <f t="shared" si="60"/>
        <v>1.0251714245078645</v>
      </c>
      <c r="J164" s="134">
        <f t="shared" si="53"/>
        <v>44743</v>
      </c>
      <c r="K164" s="130">
        <v>11.85</v>
      </c>
      <c r="L164" s="137">
        <f t="shared" si="48"/>
        <v>-5.0000000000007816E-3</v>
      </c>
      <c r="M164" s="137">
        <f t="shared" si="49"/>
        <v>96079.34</v>
      </c>
      <c r="N164" s="127">
        <v>10.65</v>
      </c>
      <c r="O164" s="140">
        <f t="shared" si="61"/>
        <v>5.6699999999982538</v>
      </c>
      <c r="P164" s="137">
        <f t="shared" si="54"/>
        <v>96079.34</v>
      </c>
      <c r="Q164" s="137">
        <f t="shared" si="62"/>
        <v>4.60664902728114E-2</v>
      </c>
      <c r="R164" s="139">
        <f t="shared" si="63"/>
        <v>1.024542045327554</v>
      </c>
      <c r="S164" s="169">
        <f t="shared" si="50"/>
        <v>-1.559999999999917E-2</v>
      </c>
      <c r="T164" s="157">
        <f t="shared" si="55"/>
        <v>1.4000000000020663E-3</v>
      </c>
      <c r="U164" s="137">
        <f t="shared" si="56"/>
        <v>96084.12</v>
      </c>
      <c r="V164" s="137">
        <f t="shared" si="57"/>
        <v>96078.45</v>
      </c>
      <c r="W164" s="137">
        <f t="shared" si="64"/>
        <v>3.9649993018553431E-2</v>
      </c>
      <c r="X164" s="139">
        <f t="shared" si="65"/>
        <v>1.0443278849490785</v>
      </c>
      <c r="AA164" s="128">
        <v>11.8344</v>
      </c>
      <c r="AB164" s="130">
        <v>11.85</v>
      </c>
      <c r="AC164" s="127">
        <v>10.65</v>
      </c>
    </row>
    <row r="165" spans="1:29" x14ac:dyDescent="0.3">
      <c r="A165" s="134">
        <v>44613</v>
      </c>
      <c r="B165" s="134">
        <v>44743</v>
      </c>
      <c r="C165" s="135">
        <f>NETWORKDAYS(A165,B165-1,Feriados!$A$2:$A$2000)</f>
        <v>89</v>
      </c>
      <c r="D165" s="128">
        <v>11.85</v>
      </c>
      <c r="E165" s="137">
        <f t="shared" si="51"/>
        <v>1.559999999999917E-2</v>
      </c>
      <c r="F165" s="138">
        <f t="shared" si="52"/>
        <v>961.22045400000002</v>
      </c>
      <c r="G165" s="137">
        <f t="shared" si="58"/>
        <v>96122.05</v>
      </c>
      <c r="H165" s="137">
        <f t="shared" si="59"/>
        <v>3.9475825974166767E-2</v>
      </c>
      <c r="I165" s="139">
        <f t="shared" si="60"/>
        <v>1.0255761193953401</v>
      </c>
      <c r="J165" s="134">
        <f t="shared" si="53"/>
        <v>44743</v>
      </c>
      <c r="K165" s="130">
        <v>11.865</v>
      </c>
      <c r="L165" s="137">
        <f t="shared" si="48"/>
        <v>1.5000000000000568E-2</v>
      </c>
      <c r="M165" s="137">
        <f t="shared" si="49"/>
        <v>96117.49</v>
      </c>
      <c r="N165" s="127">
        <v>10.65</v>
      </c>
      <c r="O165" s="140">
        <f t="shared" si="61"/>
        <v>-0.43999999998777639</v>
      </c>
      <c r="P165" s="137">
        <f t="shared" si="54"/>
        <v>96117.49</v>
      </c>
      <c r="Q165" s="137">
        <f t="shared" si="62"/>
        <v>3.9706767344571681E-2</v>
      </c>
      <c r="R165" s="139">
        <f t="shared" si="63"/>
        <v>1.0249488578538395</v>
      </c>
      <c r="S165" s="169">
        <f t="shared" si="50"/>
        <v>-1.5000000000000568E-2</v>
      </c>
      <c r="T165" s="157">
        <f t="shared" si="55"/>
        <v>5.9999999999860165E-4</v>
      </c>
      <c r="U165" s="137">
        <f t="shared" si="56"/>
        <v>96122.05</v>
      </c>
      <c r="V165" s="137">
        <f t="shared" si="57"/>
        <v>96122.489999999991</v>
      </c>
      <c r="W165" s="137">
        <f t="shared" si="64"/>
        <v>3.9933758044519152E-2</v>
      </c>
      <c r="X165" s="139">
        <f t="shared" si="65"/>
        <v>1.0447449243198454</v>
      </c>
      <c r="AA165" s="128">
        <v>11.85</v>
      </c>
      <c r="AB165" s="130">
        <v>11.865</v>
      </c>
      <c r="AC165" s="127">
        <v>10.65</v>
      </c>
    </row>
    <row r="166" spans="1:29" x14ac:dyDescent="0.3">
      <c r="A166" s="134">
        <v>44614</v>
      </c>
      <c r="B166" s="134">
        <v>44743</v>
      </c>
      <c r="C166" s="135">
        <f>NETWORKDAYS(A166,B166-1,Feriados!$A$2:$A$2000)</f>
        <v>88</v>
      </c>
      <c r="D166" s="128">
        <v>11.89</v>
      </c>
      <c r="E166" s="137">
        <f t="shared" si="51"/>
        <v>4.0000000000000924E-2</v>
      </c>
      <c r="F166" s="138">
        <f t="shared" si="52"/>
        <v>961.527649</v>
      </c>
      <c r="G166" s="137">
        <f t="shared" si="58"/>
        <v>96152.76</v>
      </c>
      <c r="H166" s="137">
        <f t="shared" si="59"/>
        <v>3.1948964883699027E-2</v>
      </c>
      <c r="I166" s="139">
        <f t="shared" si="60"/>
        <v>1.0259037803495814</v>
      </c>
      <c r="J166" s="134">
        <f t="shared" si="53"/>
        <v>44743</v>
      </c>
      <c r="K166" s="130">
        <v>11.904999999999999</v>
      </c>
      <c r="L166" s="137">
        <f t="shared" si="48"/>
        <v>3.9999999999999147E-2</v>
      </c>
      <c r="M166" s="137">
        <f t="shared" si="49"/>
        <v>96148.26</v>
      </c>
      <c r="N166" s="127">
        <v>10.65</v>
      </c>
      <c r="O166" s="140">
        <f t="shared" si="61"/>
        <v>-7.8400000000110595</v>
      </c>
      <c r="P166" s="137">
        <f t="shared" si="54"/>
        <v>96148.26</v>
      </c>
      <c r="Q166" s="137">
        <f t="shared" si="62"/>
        <v>3.2012904207112669E-2</v>
      </c>
      <c r="R166" s="139">
        <f t="shared" si="63"/>
        <v>1.0252769737498761</v>
      </c>
      <c r="S166" s="169">
        <f t="shared" si="50"/>
        <v>-1.4999999999998792E-2</v>
      </c>
      <c r="T166" s="157">
        <f t="shared" si="55"/>
        <v>1.7763568394002505E-15</v>
      </c>
      <c r="U166" s="137">
        <f t="shared" si="56"/>
        <v>96152.76</v>
      </c>
      <c r="V166" s="137">
        <f t="shared" si="57"/>
        <v>96160.6</v>
      </c>
      <c r="W166" s="137">
        <f t="shared" si="64"/>
        <v>4.0105262008038878E-2</v>
      </c>
      <c r="X166" s="139">
        <f t="shared" si="65"/>
        <v>1.0451639220090596</v>
      </c>
      <c r="AA166" s="128">
        <v>11.89</v>
      </c>
      <c r="AB166" s="130">
        <v>11.904999999999999</v>
      </c>
      <c r="AC166" s="127">
        <v>10.65</v>
      </c>
    </row>
    <row r="167" spans="1:29" x14ac:dyDescent="0.3">
      <c r="A167" s="134">
        <v>44615</v>
      </c>
      <c r="B167" s="134">
        <v>44743</v>
      </c>
      <c r="C167" s="135">
        <f>NETWORKDAYS(A167,B167-1,Feriados!$A$2:$A$2000)</f>
        <v>87</v>
      </c>
      <c r="D167" s="128">
        <v>11.8927</v>
      </c>
      <c r="E167" s="137">
        <f t="shared" si="51"/>
        <v>2.6999999999990365E-3</v>
      </c>
      <c r="F167" s="138">
        <f t="shared" si="52"/>
        <v>961.948397</v>
      </c>
      <c r="G167" s="137">
        <f t="shared" si="58"/>
        <v>96194.84</v>
      </c>
      <c r="H167" s="137">
        <f t="shared" si="59"/>
        <v>4.376369435470373E-2</v>
      </c>
      <c r="I167" s="139">
        <f t="shared" si="60"/>
        <v>1.0263527537443871</v>
      </c>
      <c r="J167" s="134">
        <f t="shared" si="53"/>
        <v>44743</v>
      </c>
      <c r="K167" s="130">
        <v>11.89</v>
      </c>
      <c r="L167" s="137">
        <f t="shared" si="48"/>
        <v>-1.4999999999998792E-2</v>
      </c>
      <c r="M167" s="137">
        <f t="shared" si="49"/>
        <v>96195.64</v>
      </c>
      <c r="N167" s="127">
        <v>10.65</v>
      </c>
      <c r="O167" s="140">
        <f t="shared" si="61"/>
        <v>8.7599999999947613</v>
      </c>
      <c r="P167" s="137">
        <f t="shared" si="54"/>
        <v>96195.64</v>
      </c>
      <c r="Q167" s="137">
        <f t="shared" si="62"/>
        <v>4.9278062858348903E-2</v>
      </c>
      <c r="R167" s="139">
        <f t="shared" si="63"/>
        <v>1.0257822103814729</v>
      </c>
      <c r="S167" s="169">
        <f t="shared" si="50"/>
        <v>2.6999999999990365E-3</v>
      </c>
      <c r="T167" s="157">
        <f t="shared" si="55"/>
        <v>1.7699999999997829E-2</v>
      </c>
      <c r="U167" s="137">
        <f t="shared" si="56"/>
        <v>96194.84</v>
      </c>
      <c r="V167" s="137">
        <f t="shared" si="57"/>
        <v>96186.08</v>
      </c>
      <c r="W167" s="137">
        <f t="shared" si="64"/>
        <v>3.4653191442468589E-2</v>
      </c>
      <c r="X167" s="139">
        <f t="shared" si="65"/>
        <v>1.0455261046638411</v>
      </c>
      <c r="AA167" s="128">
        <v>11.8927</v>
      </c>
      <c r="AB167" s="130">
        <v>11.89</v>
      </c>
      <c r="AC167" s="127">
        <v>10.65</v>
      </c>
    </row>
    <row r="168" spans="1:29" x14ac:dyDescent="0.3">
      <c r="A168" s="134">
        <v>44616</v>
      </c>
      <c r="B168" s="134">
        <v>44743</v>
      </c>
      <c r="C168" s="135">
        <f>NETWORKDAYS(A168,B168-1,Feriados!$A$2:$A$2000)</f>
        <v>86</v>
      </c>
      <c r="D168" s="128">
        <v>11.933999999999999</v>
      </c>
      <c r="E168" s="137">
        <f t="shared" si="51"/>
        <v>4.129999999999967E-2</v>
      </c>
      <c r="F168" s="138">
        <f t="shared" si="52"/>
        <v>962.25624400000004</v>
      </c>
      <c r="G168" s="137">
        <f t="shared" si="58"/>
        <v>96225.62</v>
      </c>
      <c r="H168" s="137">
        <f t="shared" si="59"/>
        <v>3.199755828899864E-2</v>
      </c>
      <c r="I168" s="139">
        <f t="shared" si="60"/>
        <v>1.0266811615650171</v>
      </c>
      <c r="J168" s="134">
        <f t="shared" si="53"/>
        <v>44743</v>
      </c>
      <c r="K168" s="130">
        <v>11.93</v>
      </c>
      <c r="L168" s="137">
        <f t="shared" si="48"/>
        <v>3.9999999999999147E-2</v>
      </c>
      <c r="M168" s="137">
        <f t="shared" si="49"/>
        <v>96226.8</v>
      </c>
      <c r="N168" s="127">
        <v>10.65</v>
      </c>
      <c r="O168" s="140">
        <f t="shared" si="61"/>
        <v>-7.4799999999959255</v>
      </c>
      <c r="P168" s="137">
        <f t="shared" si="54"/>
        <v>96226.8</v>
      </c>
      <c r="Q168" s="137">
        <f t="shared" si="62"/>
        <v>3.2392320483554116E-2</v>
      </c>
      <c r="R168" s="139">
        <f t="shared" si="63"/>
        <v>1.026114485042523</v>
      </c>
      <c r="S168" s="169">
        <f t="shared" si="50"/>
        <v>3.9999999999995595E-3</v>
      </c>
      <c r="T168" s="157">
        <f t="shared" si="55"/>
        <v>1.300000000000523E-3</v>
      </c>
      <c r="U168" s="137">
        <f t="shared" si="56"/>
        <v>96225.62</v>
      </c>
      <c r="V168" s="137">
        <f t="shared" si="57"/>
        <v>96233.099999999991</v>
      </c>
      <c r="W168" s="137">
        <f t="shared" si="64"/>
        <v>3.977344314933795E-2</v>
      </c>
      <c r="X168" s="139">
        <f t="shared" si="65"/>
        <v>1.0459419463946911</v>
      </c>
      <c r="AA168" s="128">
        <v>11.933999999999999</v>
      </c>
      <c r="AB168" s="130">
        <v>11.93</v>
      </c>
      <c r="AC168" s="127">
        <v>10.65</v>
      </c>
    </row>
    <row r="169" spans="1:29" x14ac:dyDescent="0.3">
      <c r="A169" s="134">
        <v>44617</v>
      </c>
      <c r="B169" s="134">
        <v>44743</v>
      </c>
      <c r="C169" s="135">
        <f>NETWORKDAYS(A169,B169-1,Feriados!$A$2:$A$2000)</f>
        <v>85</v>
      </c>
      <c r="D169" s="128">
        <v>11.9397</v>
      </c>
      <c r="E169" s="137">
        <f t="shared" si="51"/>
        <v>5.7000000000009265E-3</v>
      </c>
      <c r="F169" s="138">
        <f t="shared" si="52"/>
        <v>962.67029700000001</v>
      </c>
      <c r="G169" s="137">
        <f t="shared" si="58"/>
        <v>96267.03</v>
      </c>
      <c r="H169" s="137">
        <f t="shared" si="59"/>
        <v>4.3034277149889277E-2</v>
      </c>
      <c r="I169" s="139">
        <f t="shared" si="60"/>
        <v>1.0271229863815308</v>
      </c>
      <c r="J169" s="134">
        <f t="shared" si="53"/>
        <v>44743</v>
      </c>
      <c r="K169" s="130">
        <v>11.935</v>
      </c>
      <c r="L169" s="137">
        <f t="shared" si="48"/>
        <v>5.0000000000007816E-3</v>
      </c>
      <c r="M169" s="137">
        <f t="shared" si="49"/>
        <v>96268.39</v>
      </c>
      <c r="N169" s="127">
        <v>10.65</v>
      </c>
      <c r="O169" s="140">
        <f t="shared" si="61"/>
        <v>2.9400000000023283</v>
      </c>
      <c r="P169" s="137">
        <f t="shared" si="54"/>
        <v>96268.39</v>
      </c>
      <c r="Q169" s="137">
        <f t="shared" si="62"/>
        <v>4.322080750891466E-2</v>
      </c>
      <c r="R169" s="139">
        <f t="shared" si="63"/>
        <v>1.0265579800089244</v>
      </c>
      <c r="S169" s="169">
        <f t="shared" si="50"/>
        <v>4.6999999999997044E-3</v>
      </c>
      <c r="T169" s="157">
        <f t="shared" si="55"/>
        <v>7.0000000000014495E-4</v>
      </c>
      <c r="U169" s="137">
        <f t="shared" si="56"/>
        <v>96267.03</v>
      </c>
      <c r="V169" s="137">
        <f t="shared" si="57"/>
        <v>96264.09</v>
      </c>
      <c r="W169" s="137">
        <f t="shared" si="64"/>
        <v>3.9978957786912517E-2</v>
      </c>
      <c r="X169" s="139">
        <f t="shared" si="65"/>
        <v>1.0463601030839158</v>
      </c>
      <c r="AA169" s="128">
        <v>11.9397</v>
      </c>
      <c r="AB169" s="130">
        <v>11.935</v>
      </c>
      <c r="AC169" s="127">
        <v>10.65</v>
      </c>
    </row>
    <row r="170" spans="1:29" x14ac:dyDescent="0.3">
      <c r="A170" s="134">
        <v>44622</v>
      </c>
      <c r="B170" s="134">
        <v>44743</v>
      </c>
      <c r="C170" s="135">
        <f>NETWORKDAYS(A170,B170-1,Feriados!$A$2:$A$2000)</f>
        <v>84</v>
      </c>
      <c r="D170" s="128">
        <v>11.98</v>
      </c>
      <c r="E170" s="137">
        <f t="shared" si="51"/>
        <v>4.0300000000000225E-2</v>
      </c>
      <c r="F170" s="138">
        <f t="shared" si="52"/>
        <v>962.98571600000002</v>
      </c>
      <c r="G170" s="137">
        <f t="shared" si="58"/>
        <v>96298.57</v>
      </c>
      <c r="H170" s="137">
        <f t="shared" si="59"/>
        <v>3.2763034239247091E-2</v>
      </c>
      <c r="I170" s="139">
        <f t="shared" si="60"/>
        <v>1.0274595030372382</v>
      </c>
      <c r="J170" s="134">
        <f t="shared" si="53"/>
        <v>44743</v>
      </c>
      <c r="K170" s="130">
        <v>11.975</v>
      </c>
      <c r="L170" s="137">
        <f t="shared" si="48"/>
        <v>3.9999999999999147E-2</v>
      </c>
      <c r="M170" s="137">
        <f t="shared" si="49"/>
        <v>96300</v>
      </c>
      <c r="N170" s="127">
        <v>10.65</v>
      </c>
      <c r="O170" s="140">
        <f t="shared" si="61"/>
        <v>-7.0599999999976717</v>
      </c>
      <c r="P170" s="137">
        <f t="shared" si="54"/>
        <v>96300</v>
      </c>
      <c r="Q170" s="137">
        <f t="shared" si="62"/>
        <v>3.2835284770005302E-2</v>
      </c>
      <c r="R170" s="139">
        <f t="shared" si="63"/>
        <v>1.0268950532449896</v>
      </c>
      <c r="S170" s="169">
        <f t="shared" si="50"/>
        <v>5.0000000000007816E-3</v>
      </c>
      <c r="T170" s="157">
        <f t="shared" si="55"/>
        <v>3.0000000000107718E-4</v>
      </c>
      <c r="U170" s="137">
        <f t="shared" si="56"/>
        <v>96298.57</v>
      </c>
      <c r="V170" s="137">
        <f t="shared" si="57"/>
        <v>96305.63</v>
      </c>
      <c r="W170" s="137">
        <f t="shared" si="64"/>
        <v>4.0096801573707985E-2</v>
      </c>
      <c r="X170" s="139">
        <f t="shared" si="65"/>
        <v>1.0467796600181958</v>
      </c>
      <c r="AA170" s="128">
        <v>11.98</v>
      </c>
      <c r="AB170" s="130">
        <v>11.975</v>
      </c>
      <c r="AC170" s="127">
        <v>10.65</v>
      </c>
    </row>
    <row r="171" spans="1:29" x14ac:dyDescent="0.3">
      <c r="A171" s="134">
        <v>44623</v>
      </c>
      <c r="B171" s="134">
        <v>44743</v>
      </c>
      <c r="C171" s="135">
        <f>NETWORKDAYS(A171,B171-1,Feriados!$A$2:$A$2000)</f>
        <v>83</v>
      </c>
      <c r="D171" s="128">
        <v>12.045</v>
      </c>
      <c r="E171" s="137">
        <f t="shared" si="51"/>
        <v>6.4999999999999503E-2</v>
      </c>
      <c r="F171" s="138">
        <f t="shared" si="52"/>
        <v>963.23408300000006</v>
      </c>
      <c r="G171" s="137">
        <f t="shared" si="58"/>
        <v>96323.41</v>
      </c>
      <c r="H171" s="137">
        <f t="shared" si="59"/>
        <v>2.5794775561038819E-2</v>
      </c>
      <c r="I171" s="139">
        <f t="shared" si="60"/>
        <v>1.0277245339100272</v>
      </c>
      <c r="J171" s="134">
        <f t="shared" si="53"/>
        <v>44743</v>
      </c>
      <c r="K171" s="130">
        <v>12.04</v>
      </c>
      <c r="L171" s="137">
        <f t="shared" si="48"/>
        <v>6.4999999999999503E-2</v>
      </c>
      <c r="M171" s="137">
        <f t="shared" si="49"/>
        <v>96324.82</v>
      </c>
      <c r="N171" s="127">
        <v>10.65</v>
      </c>
      <c r="O171" s="140">
        <f t="shared" si="61"/>
        <v>-13.85999999998603</v>
      </c>
      <c r="P171" s="137">
        <f t="shared" si="54"/>
        <v>96324.82</v>
      </c>
      <c r="Q171" s="137">
        <f t="shared" si="62"/>
        <v>2.5773624091396385E-2</v>
      </c>
      <c r="R171" s="139">
        <f t="shared" si="63"/>
        <v>1.0271597213158261</v>
      </c>
      <c r="S171" s="169">
        <f t="shared" si="50"/>
        <v>5.0000000000007816E-3</v>
      </c>
      <c r="T171" s="157">
        <f t="shared" si="55"/>
        <v>0</v>
      </c>
      <c r="U171" s="137">
        <f t="shared" si="56"/>
        <v>96323.41</v>
      </c>
      <c r="V171" s="137">
        <f t="shared" si="57"/>
        <v>96337.26999999999</v>
      </c>
      <c r="W171" s="137">
        <f t="shared" si="64"/>
        <v>4.0187512649447754E-2</v>
      </c>
      <c r="X171" s="139">
        <f t="shared" si="65"/>
        <v>1.0472003347264773</v>
      </c>
      <c r="AA171" s="128">
        <v>12.045</v>
      </c>
      <c r="AB171" s="130">
        <v>12.04</v>
      </c>
      <c r="AC171" s="127">
        <v>10.65</v>
      </c>
    </row>
    <row r="172" spans="1:29" x14ac:dyDescent="0.3">
      <c r="A172" s="134">
        <v>44624</v>
      </c>
      <c r="B172" s="134">
        <v>44743</v>
      </c>
      <c r="C172" s="135">
        <f>NETWORKDAYS(A172,B172-1,Feriados!$A$2:$A$2000)</f>
        <v>82</v>
      </c>
      <c r="D172" s="128">
        <v>12.2006</v>
      </c>
      <c r="E172" s="137">
        <f t="shared" si="51"/>
        <v>0.15559999999999974</v>
      </c>
      <c r="F172" s="138">
        <f t="shared" si="52"/>
        <v>963.23383000000001</v>
      </c>
      <c r="G172" s="137">
        <f t="shared" si="58"/>
        <v>96323.38</v>
      </c>
      <c r="H172" s="137">
        <f t="shared" si="59"/>
        <v>-3.114507677315359E-5</v>
      </c>
      <c r="I172" s="139">
        <f t="shared" si="60"/>
        <v>1.027724213824432</v>
      </c>
      <c r="J172" s="134">
        <f t="shared" si="53"/>
        <v>44743</v>
      </c>
      <c r="K172" s="130">
        <v>12.2</v>
      </c>
      <c r="L172" s="137">
        <f t="shared" si="48"/>
        <v>0.16000000000000014</v>
      </c>
      <c r="M172" s="137">
        <f t="shared" si="49"/>
        <v>96323.55</v>
      </c>
      <c r="N172" s="127">
        <v>10.65</v>
      </c>
      <c r="O172" s="140">
        <f t="shared" si="61"/>
        <v>-39.959999999991851</v>
      </c>
      <c r="P172" s="137">
        <f t="shared" si="54"/>
        <v>96323.55</v>
      </c>
      <c r="Q172" s="137">
        <f t="shared" si="62"/>
        <v>-1.3184556171497164E-3</v>
      </c>
      <c r="R172" s="139">
        <f t="shared" si="63"/>
        <v>1.0271461786707834</v>
      </c>
      <c r="S172" s="169">
        <f t="shared" si="50"/>
        <v>6.0000000000037801E-4</v>
      </c>
      <c r="T172" s="157">
        <f t="shared" si="55"/>
        <v>-4.4000000000004036E-3</v>
      </c>
      <c r="U172" s="137">
        <f t="shared" si="56"/>
        <v>96323.38</v>
      </c>
      <c r="V172" s="137">
        <f t="shared" si="57"/>
        <v>96363.34</v>
      </c>
      <c r="W172" s="137">
        <f t="shared" si="64"/>
        <v>4.1454097191939709E-2</v>
      </c>
      <c r="X172" s="139">
        <f t="shared" si="65"/>
        <v>1.0476344421710291</v>
      </c>
      <c r="AA172" s="128">
        <v>12.2006</v>
      </c>
      <c r="AB172" s="130">
        <v>12.2</v>
      </c>
      <c r="AC172" s="127">
        <v>10.65</v>
      </c>
    </row>
    <row r="173" spans="1:29" x14ac:dyDescent="0.3">
      <c r="A173" s="134">
        <v>44627</v>
      </c>
      <c r="B173" s="134">
        <v>44743</v>
      </c>
      <c r="C173" s="135">
        <f>NETWORKDAYS(A173,B173-1,Feriados!$A$2:$A$2000)</f>
        <v>81</v>
      </c>
      <c r="D173" s="128">
        <v>12.2477</v>
      </c>
      <c r="E173" s="137">
        <f t="shared" si="51"/>
        <v>4.7100000000000364E-2</v>
      </c>
      <c r="F173" s="138">
        <f t="shared" si="52"/>
        <v>963.54395999999997</v>
      </c>
      <c r="G173" s="137">
        <f t="shared" si="58"/>
        <v>96354.4</v>
      </c>
      <c r="H173" s="137">
        <f t="shared" si="59"/>
        <v>3.2204019418746732E-2</v>
      </c>
      <c r="I173" s="139">
        <f t="shared" si="60"/>
        <v>1.0280551823298232</v>
      </c>
      <c r="J173" s="134">
        <f t="shared" si="53"/>
        <v>44743</v>
      </c>
      <c r="K173" s="130">
        <v>12.25</v>
      </c>
      <c r="L173" s="137">
        <f t="shared" si="48"/>
        <v>5.0000000000000711E-2</v>
      </c>
      <c r="M173" s="137">
        <f t="shared" si="49"/>
        <v>96353.76</v>
      </c>
      <c r="N173" s="127">
        <v>10.65</v>
      </c>
      <c r="O173" s="140">
        <f t="shared" si="61"/>
        <v>-8.4800000000104774</v>
      </c>
      <c r="P173" s="137">
        <f t="shared" si="54"/>
        <v>96353.76</v>
      </c>
      <c r="Q173" s="137">
        <f t="shared" si="62"/>
        <v>3.1363046731547328E-2</v>
      </c>
      <c r="R173" s="139">
        <f t="shared" si="63"/>
        <v>1.0274683230068011</v>
      </c>
      <c r="S173" s="169">
        <f t="shared" si="50"/>
        <v>-2.2999999999999687E-3</v>
      </c>
      <c r="T173" s="157">
        <f t="shared" si="55"/>
        <v>-2.9000000000003467E-3</v>
      </c>
      <c r="U173" s="137">
        <f t="shared" si="56"/>
        <v>96354.4</v>
      </c>
      <c r="V173" s="137">
        <f t="shared" si="57"/>
        <v>96362.880000000005</v>
      </c>
      <c r="W173" s="137">
        <f t="shared" si="64"/>
        <v>4.100769719668218E-2</v>
      </c>
      <c r="X173" s="139">
        <f t="shared" si="65"/>
        <v>1.0480640529308027</v>
      </c>
      <c r="AA173" s="128">
        <v>12.2477</v>
      </c>
      <c r="AB173" s="130">
        <v>12.25</v>
      </c>
      <c r="AC173" s="127">
        <v>10.65</v>
      </c>
    </row>
    <row r="174" spans="1:29" x14ac:dyDescent="0.3">
      <c r="A174" s="134">
        <v>44628</v>
      </c>
      <c r="B174" s="134">
        <v>44743</v>
      </c>
      <c r="C174" s="135">
        <f>NETWORKDAYS(A174,B174-1,Feriados!$A$2:$A$2000)</f>
        <v>80</v>
      </c>
      <c r="D174" s="128">
        <v>12.2394</v>
      </c>
      <c r="E174" s="137">
        <f t="shared" si="51"/>
        <v>-8.3000000000001961E-3</v>
      </c>
      <c r="F174" s="138">
        <f t="shared" si="52"/>
        <v>964.00846000000001</v>
      </c>
      <c r="G174" s="137">
        <f t="shared" si="58"/>
        <v>96400.85</v>
      </c>
      <c r="H174" s="137">
        <f t="shared" si="59"/>
        <v>4.820745082736444E-2</v>
      </c>
      <c r="I174" s="139">
        <f t="shared" si="60"/>
        <v>1.0285507815263231</v>
      </c>
      <c r="J174" s="134">
        <f t="shared" si="53"/>
        <v>44743</v>
      </c>
      <c r="K174" s="130">
        <v>12.24</v>
      </c>
      <c r="L174" s="137">
        <f t="shared" si="48"/>
        <v>-9.9999999999997868E-3</v>
      </c>
      <c r="M174" s="137">
        <f t="shared" si="49"/>
        <v>96400.68</v>
      </c>
      <c r="N174" s="127">
        <v>10.65</v>
      </c>
      <c r="O174" s="140">
        <f t="shared" si="61"/>
        <v>8.2199999999866122</v>
      </c>
      <c r="P174" s="137">
        <f t="shared" si="54"/>
        <v>96400.68</v>
      </c>
      <c r="Q174" s="137">
        <f t="shared" si="62"/>
        <v>4.8695556872924151E-2</v>
      </c>
      <c r="R174" s="139">
        <f t="shared" si="63"/>
        <v>1.0279686544283821</v>
      </c>
      <c r="S174" s="169">
        <f t="shared" si="50"/>
        <v>-6.0000000000037801E-4</v>
      </c>
      <c r="T174" s="157">
        <f t="shared" si="55"/>
        <v>1.6999999999995907E-3</v>
      </c>
      <c r="U174" s="137">
        <f t="shared" si="56"/>
        <v>96400.85</v>
      </c>
      <c r="V174" s="137">
        <f t="shared" si="57"/>
        <v>96392.630000000019</v>
      </c>
      <c r="W174" s="137">
        <f t="shared" si="64"/>
        <v>3.9676444459235682E-2</v>
      </c>
      <c r="X174" s="139">
        <f t="shared" si="65"/>
        <v>1.0484798874826611</v>
      </c>
      <c r="AA174" s="128">
        <v>12.2394</v>
      </c>
      <c r="AB174" s="130">
        <v>12.24</v>
      </c>
      <c r="AC174" s="127">
        <v>10.65</v>
      </c>
    </row>
    <row r="175" spans="1:29" x14ac:dyDescent="0.3">
      <c r="A175" s="134">
        <v>44629</v>
      </c>
      <c r="B175" s="134">
        <v>44743</v>
      </c>
      <c r="C175" s="135">
        <f>NETWORKDAYS(A175,B175-1,Feriados!$A$2:$A$2000)</f>
        <v>79</v>
      </c>
      <c r="D175" s="128">
        <v>12.180400000000001</v>
      </c>
      <c r="E175" s="137">
        <f t="shared" si="51"/>
        <v>-5.8999999999999275E-2</v>
      </c>
      <c r="F175" s="138">
        <f t="shared" si="52"/>
        <v>964.60924799999998</v>
      </c>
      <c r="G175" s="137">
        <f t="shared" si="58"/>
        <v>96460.92</v>
      </c>
      <c r="H175" s="137">
        <f t="shared" si="59"/>
        <v>6.2312728570335096E-2</v>
      </c>
      <c r="I175" s="139">
        <f t="shared" si="60"/>
        <v>1.0291916995830237</v>
      </c>
      <c r="J175" s="134">
        <f t="shared" si="53"/>
        <v>44743</v>
      </c>
      <c r="K175" s="130">
        <v>12.17</v>
      </c>
      <c r="L175" s="137">
        <f t="shared" si="48"/>
        <v>-7.0000000000000284E-2</v>
      </c>
      <c r="M175" s="137">
        <f t="shared" si="49"/>
        <v>96463.73</v>
      </c>
      <c r="N175" s="127">
        <v>10.65</v>
      </c>
      <c r="O175" s="140">
        <f t="shared" si="61"/>
        <v>24.330000000001746</v>
      </c>
      <c r="P175" s="137">
        <f t="shared" si="54"/>
        <v>96463.73</v>
      </c>
      <c r="Q175" s="137">
        <f t="shared" si="62"/>
        <v>6.5404102958610544E-2</v>
      </c>
      <c r="R175" s="139">
        <f t="shared" si="63"/>
        <v>1.0286409881055067</v>
      </c>
      <c r="S175" s="169">
        <f t="shared" si="50"/>
        <v>1.0400000000000631E-2</v>
      </c>
      <c r="T175" s="157">
        <f t="shared" si="55"/>
        <v>1.1000000000001009E-2</v>
      </c>
      <c r="U175" s="137">
        <f t="shared" si="56"/>
        <v>96460.92</v>
      </c>
      <c r="V175" s="137">
        <f t="shared" si="57"/>
        <v>96436.59</v>
      </c>
      <c r="W175" s="137">
        <f t="shared" si="64"/>
        <v>3.7074361896172192E-2</v>
      </c>
      <c r="X175" s="139">
        <f t="shared" si="65"/>
        <v>1.0488686047105549</v>
      </c>
      <c r="AA175" s="128">
        <v>12.180400000000001</v>
      </c>
      <c r="AB175" s="130">
        <v>12.17</v>
      </c>
      <c r="AC175" s="127">
        <v>10.65</v>
      </c>
    </row>
    <row r="176" spans="1:29" x14ac:dyDescent="0.3">
      <c r="A176" s="134">
        <v>44630</v>
      </c>
      <c r="B176" s="134">
        <v>44743</v>
      </c>
      <c r="C176" s="135">
        <f>NETWORKDAYS(A176,B176-1,Feriados!$A$2:$A$2000)</f>
        <v>78</v>
      </c>
      <c r="D176" s="128">
        <v>12.27</v>
      </c>
      <c r="E176" s="137">
        <f t="shared" si="51"/>
        <v>8.9599999999999014E-2</v>
      </c>
      <c r="F176" s="138">
        <f t="shared" si="52"/>
        <v>964.81085499999995</v>
      </c>
      <c r="G176" s="137">
        <f t="shared" si="58"/>
        <v>96481.09</v>
      </c>
      <c r="H176" s="137">
        <f t="shared" si="59"/>
        <v>2.0910022421505303E-2</v>
      </c>
      <c r="I176" s="139">
        <f t="shared" si="60"/>
        <v>1.0294069037981668</v>
      </c>
      <c r="J176" s="134">
        <f t="shared" si="53"/>
        <v>44743</v>
      </c>
      <c r="K176" s="130">
        <v>12.255000000000001</v>
      </c>
      <c r="L176" s="137">
        <f t="shared" si="48"/>
        <v>8.5000000000000853E-2</v>
      </c>
      <c r="M176" s="137">
        <f t="shared" si="49"/>
        <v>96485.08</v>
      </c>
      <c r="N176" s="127">
        <v>10.65</v>
      </c>
      <c r="O176" s="140">
        <f t="shared" si="61"/>
        <v>-17.399999999994179</v>
      </c>
      <c r="P176" s="137">
        <f t="shared" si="54"/>
        <v>96485.08</v>
      </c>
      <c r="Q176" s="137">
        <f t="shared" si="62"/>
        <v>2.2132671004948534E-2</v>
      </c>
      <c r="R176" s="139">
        <f t="shared" si="63"/>
        <v>1.0288686538312262</v>
      </c>
      <c r="S176" s="169">
        <f t="shared" si="50"/>
        <v>1.4999999999998792E-2</v>
      </c>
      <c r="T176" s="157">
        <f t="shared" si="55"/>
        <v>4.5999999999981611E-3</v>
      </c>
      <c r="U176" s="137">
        <f t="shared" si="56"/>
        <v>96481.09</v>
      </c>
      <c r="V176" s="137">
        <f t="shared" si="57"/>
        <v>96498.489999999991</v>
      </c>
      <c r="W176" s="137">
        <f t="shared" si="64"/>
        <v>3.8948415586315122E-2</v>
      </c>
      <c r="X176" s="139">
        <f t="shared" si="65"/>
        <v>1.0492771224136719</v>
      </c>
      <c r="AA176" s="128">
        <v>12.27</v>
      </c>
      <c r="AB176" s="130">
        <v>12.255000000000001</v>
      </c>
      <c r="AC176" s="127">
        <v>10.65</v>
      </c>
    </row>
    <row r="177" spans="1:29" x14ac:dyDescent="0.3">
      <c r="A177" s="134">
        <v>44631</v>
      </c>
      <c r="B177" s="134">
        <v>44743</v>
      </c>
      <c r="C177" s="135">
        <f>NETWORKDAYS(A177,B177-1,Feriados!$A$2:$A$2000)</f>
        <v>77</v>
      </c>
      <c r="D177" s="128">
        <v>12.3104</v>
      </c>
      <c r="E177" s="137">
        <f t="shared" si="51"/>
        <v>4.0399999999999991E-2</v>
      </c>
      <c r="F177" s="138">
        <f t="shared" si="52"/>
        <v>965.14795900000001</v>
      </c>
      <c r="G177" s="137">
        <f t="shared" si="58"/>
        <v>96514.8</v>
      </c>
      <c r="H177" s="137">
        <f t="shared" si="59"/>
        <v>3.4939489178653638E-2</v>
      </c>
      <c r="I177" s="139">
        <f t="shared" si="60"/>
        <v>1.0297665733119237</v>
      </c>
      <c r="J177" s="134">
        <f t="shared" si="53"/>
        <v>44743</v>
      </c>
      <c r="K177" s="130">
        <v>12.295</v>
      </c>
      <c r="L177" s="137">
        <f t="shared" si="48"/>
        <v>3.9999999999999147E-2</v>
      </c>
      <c r="M177" s="137">
        <f t="shared" si="49"/>
        <v>96518.84</v>
      </c>
      <c r="N177" s="127">
        <v>10.65</v>
      </c>
      <c r="O177" s="140">
        <f t="shared" si="61"/>
        <v>-5</v>
      </c>
      <c r="P177" s="137">
        <f t="shared" si="54"/>
        <v>96518.84</v>
      </c>
      <c r="Q177" s="137">
        <f t="shared" si="62"/>
        <v>3.4989865790646668E-2</v>
      </c>
      <c r="R177" s="139">
        <f t="shared" si="63"/>
        <v>1.0292286535923638</v>
      </c>
      <c r="S177" s="169">
        <f t="shared" si="50"/>
        <v>1.5399999999999636E-2</v>
      </c>
      <c r="T177" s="157">
        <f t="shared" si="55"/>
        <v>4.0000000000084412E-4</v>
      </c>
      <c r="U177" s="137">
        <f t="shared" si="56"/>
        <v>96514.8</v>
      </c>
      <c r="V177" s="137">
        <f t="shared" si="57"/>
        <v>96519.8</v>
      </c>
      <c r="W177" s="137">
        <f t="shared" si="64"/>
        <v>4.0121851857199964E-2</v>
      </c>
      <c r="X177" s="139">
        <f t="shared" si="65"/>
        <v>1.0496981118262982</v>
      </c>
      <c r="AA177" s="128">
        <v>12.3104</v>
      </c>
      <c r="AB177" s="130">
        <v>12.295</v>
      </c>
      <c r="AC177" s="127">
        <v>10.65</v>
      </c>
    </row>
    <row r="178" spans="1:29" x14ac:dyDescent="0.3">
      <c r="A178" s="134">
        <v>44634</v>
      </c>
      <c r="B178" s="134">
        <v>44743</v>
      </c>
      <c r="C178" s="135">
        <f>NETWORKDAYS(A178,B178-1,Feriados!$A$2:$A$2000)</f>
        <v>76</v>
      </c>
      <c r="D178" s="128">
        <v>12.3767</v>
      </c>
      <c r="E178" s="137">
        <f t="shared" si="51"/>
        <v>6.6300000000000026E-2</v>
      </c>
      <c r="F178" s="138">
        <f t="shared" si="52"/>
        <v>965.42086099999995</v>
      </c>
      <c r="G178" s="137">
        <f t="shared" si="58"/>
        <v>96542.09</v>
      </c>
      <c r="H178" s="137">
        <f t="shared" si="59"/>
        <v>2.8275456199455817E-2</v>
      </c>
      <c r="I178" s="139">
        <f t="shared" si="60"/>
        <v>1.0300577445083172</v>
      </c>
      <c r="J178" s="134">
        <f t="shared" si="53"/>
        <v>44743</v>
      </c>
      <c r="K178" s="130">
        <v>12.36</v>
      </c>
      <c r="L178" s="137">
        <f t="shared" si="48"/>
        <v>6.4999999999999503E-2</v>
      </c>
      <c r="M178" s="137">
        <f t="shared" si="49"/>
        <v>96546.41</v>
      </c>
      <c r="N178" s="127">
        <v>10.65</v>
      </c>
      <c r="O178" s="140">
        <f t="shared" si="61"/>
        <v>-11.19999999999709</v>
      </c>
      <c r="P178" s="137">
        <f t="shared" si="54"/>
        <v>96546.41</v>
      </c>
      <c r="Q178" s="137">
        <f t="shared" si="62"/>
        <v>2.8564371474004702E-2</v>
      </c>
      <c r="R178" s="139">
        <f t="shared" si="63"/>
        <v>1.0295226462882929</v>
      </c>
      <c r="S178" s="169">
        <f t="shared" si="50"/>
        <v>1.6700000000000159E-2</v>
      </c>
      <c r="T178" s="157">
        <f t="shared" si="55"/>
        <v>1.300000000000523E-3</v>
      </c>
      <c r="U178" s="137">
        <f t="shared" si="56"/>
        <v>96542.09</v>
      </c>
      <c r="V178" s="137">
        <f t="shared" si="57"/>
        <v>96553.29</v>
      </c>
      <c r="W178" s="137">
        <f t="shared" si="64"/>
        <v>3.9879894068040045E-2</v>
      </c>
      <c r="X178" s="139">
        <f t="shared" si="65"/>
        <v>1.0501167303213288</v>
      </c>
      <c r="AA178" s="128">
        <v>12.3767</v>
      </c>
      <c r="AB178" s="130">
        <v>12.36</v>
      </c>
      <c r="AC178" s="127">
        <v>10.65</v>
      </c>
    </row>
    <row r="179" spans="1:29" x14ac:dyDescent="0.3">
      <c r="A179" s="134">
        <v>44635</v>
      </c>
      <c r="B179" s="134">
        <v>44743</v>
      </c>
      <c r="C179" s="135">
        <f>NETWORKDAYS(A179,B179-1,Feriados!$A$2:$A$2000)</f>
        <v>75</v>
      </c>
      <c r="D179" s="128">
        <v>12.2875</v>
      </c>
      <c r="E179" s="137">
        <f t="shared" si="51"/>
        <v>-8.9199999999999946E-2</v>
      </c>
      <c r="F179" s="138">
        <f t="shared" si="52"/>
        <v>966.09628599999996</v>
      </c>
      <c r="G179" s="137">
        <f t="shared" si="58"/>
        <v>96609.63</v>
      </c>
      <c r="H179" s="137">
        <f t="shared" si="59"/>
        <v>6.9959123528406941E-2</v>
      </c>
      <c r="I179" s="139">
        <f t="shared" si="60"/>
        <v>1.0307783638782118</v>
      </c>
      <c r="J179" s="134">
        <f t="shared" si="53"/>
        <v>44743</v>
      </c>
      <c r="K179" s="130">
        <v>12.27</v>
      </c>
      <c r="L179" s="137">
        <f t="shared" si="48"/>
        <v>-8.9999999999999858E-2</v>
      </c>
      <c r="M179" s="137">
        <f t="shared" si="49"/>
        <v>96614.11</v>
      </c>
      <c r="N179" s="127">
        <v>10.65</v>
      </c>
      <c r="O179" s="140">
        <f t="shared" si="61"/>
        <v>28.919999999998254</v>
      </c>
      <c r="P179" s="137">
        <f t="shared" si="54"/>
        <v>96614.11</v>
      </c>
      <c r="Q179" s="137">
        <f t="shared" si="62"/>
        <v>7.0121716592042027E-2</v>
      </c>
      <c r="R179" s="139">
        <f t="shared" si="63"/>
        <v>1.0302445652405741</v>
      </c>
      <c r="S179" s="169">
        <f t="shared" si="50"/>
        <v>1.7500000000000071E-2</v>
      </c>
      <c r="T179" s="157">
        <f t="shared" si="55"/>
        <v>7.9999999999991189E-4</v>
      </c>
      <c r="U179" s="137">
        <f t="shared" si="56"/>
        <v>96609.63</v>
      </c>
      <c r="V179" s="137">
        <f t="shared" si="57"/>
        <v>96580.71</v>
      </c>
      <c r="W179" s="137">
        <f t="shared" si="64"/>
        <v>4.0003277327027575E-2</v>
      </c>
      <c r="X179" s="139">
        <f t="shared" si="65"/>
        <v>1.0505368114292168</v>
      </c>
      <c r="AA179" s="128">
        <v>12.2875</v>
      </c>
      <c r="AB179" s="130">
        <v>12.27</v>
      </c>
      <c r="AC179" s="127">
        <v>10.65</v>
      </c>
    </row>
    <row r="180" spans="1:29" x14ac:dyDescent="0.3">
      <c r="A180" s="134">
        <v>44636</v>
      </c>
      <c r="B180" s="134">
        <v>44743</v>
      </c>
      <c r="C180" s="135">
        <f>NETWORKDAYS(A180,B180-1,Feriados!$A$2:$A$2000)</f>
        <v>74</v>
      </c>
      <c r="D180" s="128">
        <v>12.319100000000001</v>
      </c>
      <c r="E180" s="137">
        <f t="shared" si="51"/>
        <v>3.1600000000000961E-2</v>
      </c>
      <c r="F180" s="138">
        <f t="shared" si="52"/>
        <v>966.46082699999999</v>
      </c>
      <c r="G180" s="137">
        <f t="shared" si="58"/>
        <v>96646.080000000002</v>
      </c>
      <c r="H180" s="137">
        <f t="shared" si="59"/>
        <v>3.7729158055976875E-2</v>
      </c>
      <c r="I180" s="139">
        <f t="shared" si="60"/>
        <v>1.0311672678763262</v>
      </c>
      <c r="J180" s="134">
        <f t="shared" si="53"/>
        <v>44743</v>
      </c>
      <c r="K180" s="130">
        <v>12.3</v>
      </c>
      <c r="L180" s="137">
        <f t="shared" si="48"/>
        <v>3.0000000000001137E-2</v>
      </c>
      <c r="M180" s="137">
        <f t="shared" si="49"/>
        <v>96650.91</v>
      </c>
      <c r="N180" s="127">
        <v>10.65</v>
      </c>
      <c r="O180" s="140">
        <f t="shared" si="61"/>
        <v>-2.0099999999947613</v>
      </c>
      <c r="P180" s="137">
        <f t="shared" si="54"/>
        <v>96650.91</v>
      </c>
      <c r="Q180" s="137">
        <f t="shared" si="62"/>
        <v>3.8089674479224733E-2</v>
      </c>
      <c r="R180" s="139">
        <f t="shared" si="63"/>
        <v>1.0306369820418142</v>
      </c>
      <c r="S180" s="169">
        <f t="shared" si="50"/>
        <v>1.9099999999999895E-2</v>
      </c>
      <c r="T180" s="157">
        <f t="shared" si="55"/>
        <v>1.5999999999998238E-3</v>
      </c>
      <c r="U180" s="137">
        <f t="shared" si="56"/>
        <v>96646.080000000002</v>
      </c>
      <c r="V180" s="137">
        <f t="shared" si="57"/>
        <v>96648.09</v>
      </c>
      <c r="W180" s="137">
        <f t="shared" si="64"/>
        <v>3.9809695989934113E-2</v>
      </c>
      <c r="X180" s="139">
        <f t="shared" si="65"/>
        <v>1.0509550269401091</v>
      </c>
      <c r="AA180" s="128">
        <v>12.319100000000001</v>
      </c>
      <c r="AB180" s="130">
        <v>12.3</v>
      </c>
      <c r="AC180" s="127">
        <v>10.65</v>
      </c>
    </row>
    <row r="181" spans="1:29" x14ac:dyDescent="0.3">
      <c r="A181" s="134">
        <v>44637</v>
      </c>
      <c r="B181" s="134">
        <v>44743</v>
      </c>
      <c r="C181" s="135">
        <f>NETWORKDAYS(A181,B181-1,Feriados!$A$2:$A$2000)</f>
        <v>73</v>
      </c>
      <c r="D181" s="128">
        <v>12.285399999999999</v>
      </c>
      <c r="E181" s="137">
        <f t="shared" si="51"/>
        <v>-3.3700000000001396E-2</v>
      </c>
      <c r="F181" s="138">
        <f t="shared" si="52"/>
        <v>966.99053100000003</v>
      </c>
      <c r="G181" s="137">
        <f t="shared" si="58"/>
        <v>96699.05</v>
      </c>
      <c r="H181" s="137">
        <f t="shared" si="59"/>
        <v>5.4808223985913784E-2</v>
      </c>
      <c r="I181" s="139">
        <f t="shared" si="60"/>
        <v>1.0317324323421733</v>
      </c>
      <c r="J181" s="134">
        <f t="shared" si="53"/>
        <v>44743</v>
      </c>
      <c r="K181" s="130">
        <v>12.27</v>
      </c>
      <c r="L181" s="137">
        <f t="shared" si="48"/>
        <v>-3.0000000000001137E-2</v>
      </c>
      <c r="M181" s="137">
        <f t="shared" si="49"/>
        <v>96702.9</v>
      </c>
      <c r="N181" s="127">
        <v>10.65</v>
      </c>
      <c r="O181" s="140">
        <f t="shared" si="61"/>
        <v>13.169999999998254</v>
      </c>
      <c r="P181" s="137">
        <f t="shared" si="54"/>
        <v>96702.9</v>
      </c>
      <c r="Q181" s="137">
        <f t="shared" si="62"/>
        <v>5.379152663951281E-2</v>
      </c>
      <c r="R181" s="139">
        <f t="shared" si="63"/>
        <v>1.0311913774085659</v>
      </c>
      <c r="S181" s="169">
        <f t="shared" si="50"/>
        <v>1.5399999999999636E-2</v>
      </c>
      <c r="T181" s="157">
        <f t="shared" si="55"/>
        <v>-3.7000000000002586E-3</v>
      </c>
      <c r="U181" s="137">
        <f t="shared" si="56"/>
        <v>96699.05</v>
      </c>
      <c r="V181" s="137">
        <f t="shared" si="57"/>
        <v>96685.88</v>
      </c>
      <c r="W181" s="137">
        <f t="shared" si="64"/>
        <v>4.1181183965255386E-2</v>
      </c>
      <c r="X181" s="139">
        <f t="shared" si="65"/>
        <v>1.0513878226631455</v>
      </c>
      <c r="AA181" s="128">
        <v>12.285399999999999</v>
      </c>
      <c r="AB181" s="130">
        <v>12.27</v>
      </c>
      <c r="AC181" s="127">
        <v>10.65</v>
      </c>
    </row>
    <row r="182" spans="1:29" x14ac:dyDescent="0.3">
      <c r="A182" s="134">
        <v>44638</v>
      </c>
      <c r="B182" s="134">
        <v>44743</v>
      </c>
      <c r="C182" s="135">
        <f>NETWORKDAYS(A182,B182-1,Feriados!$A$2:$A$2000)</f>
        <v>72</v>
      </c>
      <c r="D182" s="128">
        <v>12.28</v>
      </c>
      <c r="E182" s="137">
        <f t="shared" si="51"/>
        <v>-5.3999999999998494E-3</v>
      </c>
      <c r="F182" s="138">
        <f t="shared" si="52"/>
        <v>967.44856400000003</v>
      </c>
      <c r="G182" s="137">
        <f t="shared" si="58"/>
        <v>96744.86</v>
      </c>
      <c r="H182" s="137">
        <f t="shared" si="59"/>
        <v>4.7373784954451992E-2</v>
      </c>
      <c r="I182" s="139">
        <f t="shared" si="60"/>
        <v>1.0322212030459763</v>
      </c>
      <c r="J182" s="134">
        <f t="shared" si="53"/>
        <v>44743</v>
      </c>
      <c r="K182" s="130">
        <v>12.265000000000001</v>
      </c>
      <c r="L182" s="137">
        <f t="shared" si="48"/>
        <v>-4.9999999999990052E-3</v>
      </c>
      <c r="M182" s="137">
        <f t="shared" si="49"/>
        <v>96748.55</v>
      </c>
      <c r="N182" s="127">
        <v>11.65</v>
      </c>
      <c r="O182" s="140">
        <f t="shared" si="61"/>
        <v>6.8099999999976717</v>
      </c>
      <c r="P182" s="137">
        <f t="shared" si="54"/>
        <v>96748.55</v>
      </c>
      <c r="Q182" s="137">
        <f t="shared" si="62"/>
        <v>4.7206443653724506E-2</v>
      </c>
      <c r="R182" s="139">
        <f t="shared" si="63"/>
        <v>1.0316781661851044</v>
      </c>
      <c r="S182" s="169">
        <f t="shared" si="50"/>
        <v>1.4999999999998792E-2</v>
      </c>
      <c r="T182" s="157">
        <f t="shared" si="55"/>
        <v>-4.0000000000084412E-4</v>
      </c>
      <c r="U182" s="137">
        <f t="shared" si="56"/>
        <v>96744.86</v>
      </c>
      <c r="V182" s="137">
        <f t="shared" si="57"/>
        <v>96738.05</v>
      </c>
      <c r="W182" s="137">
        <f t="shared" si="64"/>
        <v>4.0331316595154654E-2</v>
      </c>
      <c r="X182" s="139">
        <f t="shared" si="65"/>
        <v>1.0518118612145466</v>
      </c>
      <c r="AA182" s="128">
        <v>12.28</v>
      </c>
      <c r="AB182" s="130">
        <v>12.265000000000001</v>
      </c>
      <c r="AC182" s="127">
        <v>11.65</v>
      </c>
    </row>
    <row r="183" spans="1:29" x14ac:dyDescent="0.3">
      <c r="A183" s="134">
        <v>44641</v>
      </c>
      <c r="B183" s="134">
        <v>44743</v>
      </c>
      <c r="C183" s="135">
        <f>NETWORKDAYS(A183,B183-1,Feriados!$A$2:$A$2000)</f>
        <v>71</v>
      </c>
      <c r="D183" s="128">
        <v>12.295500000000001</v>
      </c>
      <c r="E183" s="137">
        <f t="shared" si="51"/>
        <v>1.550000000000118E-2</v>
      </c>
      <c r="F183" s="138">
        <f t="shared" si="52"/>
        <v>967.85568799999999</v>
      </c>
      <c r="G183" s="137">
        <f t="shared" si="58"/>
        <v>96785.57</v>
      </c>
      <c r="H183" s="137">
        <f t="shared" si="59"/>
        <v>4.207975493479843E-2</v>
      </c>
      <c r="I183" s="139">
        <f t="shared" si="60"/>
        <v>1.0326555591986031</v>
      </c>
      <c r="J183" s="134">
        <f t="shared" si="53"/>
        <v>44743</v>
      </c>
      <c r="K183" s="130">
        <v>12.28</v>
      </c>
      <c r="L183" s="137">
        <f t="shared" si="48"/>
        <v>1.4999999999998792E-2</v>
      </c>
      <c r="M183" s="137">
        <f t="shared" si="49"/>
        <v>96789.33</v>
      </c>
      <c r="N183" s="127">
        <v>11.65</v>
      </c>
      <c r="O183" s="140">
        <f t="shared" si="61"/>
        <v>-1.5399999999935972</v>
      </c>
      <c r="P183" s="137">
        <f t="shared" si="54"/>
        <v>96789.33</v>
      </c>
      <c r="Q183" s="137">
        <f t="shared" si="62"/>
        <v>4.2150502513993438E-2</v>
      </c>
      <c r="R183" s="139">
        <f t="shared" si="63"/>
        <v>1.0321130237164786</v>
      </c>
      <c r="S183" s="169">
        <f t="shared" si="50"/>
        <v>1.550000000000118E-2</v>
      </c>
      <c r="T183" s="157">
        <f t="shared" si="55"/>
        <v>5.0000000000238742E-4</v>
      </c>
      <c r="U183" s="137">
        <f t="shared" si="56"/>
        <v>96785.57</v>
      </c>
      <c r="V183" s="137">
        <f t="shared" si="57"/>
        <v>96787.11</v>
      </c>
      <c r="W183" s="137">
        <f t="shared" si="64"/>
        <v>4.3671570768721857E-2</v>
      </c>
      <c r="X183" s="139">
        <f t="shared" si="65"/>
        <v>1.0522712039758708</v>
      </c>
      <c r="AA183" s="128">
        <v>12.295500000000001</v>
      </c>
      <c r="AB183" s="130">
        <v>12.28</v>
      </c>
      <c r="AC183" s="127">
        <v>11.65</v>
      </c>
    </row>
    <row r="184" spans="1:29" x14ac:dyDescent="0.3">
      <c r="A184" s="134">
        <v>44642</v>
      </c>
      <c r="B184" s="134">
        <v>44743</v>
      </c>
      <c r="C184" s="135">
        <f>NETWORKDAYS(A184,B184-1,Feriados!$A$2:$A$2000)</f>
        <v>70</v>
      </c>
      <c r="D184" s="128">
        <v>12.3264</v>
      </c>
      <c r="E184" s="137">
        <f t="shared" si="51"/>
        <v>3.0899999999999039E-2</v>
      </c>
      <c r="F184" s="138">
        <f t="shared" si="52"/>
        <v>968.227172</v>
      </c>
      <c r="G184" s="137">
        <f t="shared" si="58"/>
        <v>96822.720000000001</v>
      </c>
      <c r="H184" s="137">
        <f t="shared" si="59"/>
        <v>3.8383821059273515E-2</v>
      </c>
      <c r="I184" s="139">
        <f t="shared" si="60"/>
        <v>1.0330519318606046</v>
      </c>
      <c r="J184" s="134">
        <f t="shared" si="53"/>
        <v>44743</v>
      </c>
      <c r="K184" s="130">
        <v>12.305</v>
      </c>
      <c r="L184" s="137">
        <f t="shared" si="48"/>
        <v>2.5000000000000355E-2</v>
      </c>
      <c r="M184" s="137">
        <f t="shared" si="49"/>
        <v>96827.839999999997</v>
      </c>
      <c r="N184" s="127">
        <v>11.65</v>
      </c>
      <c r="O184" s="140">
        <f t="shared" si="61"/>
        <v>-3.8200000000069849</v>
      </c>
      <c r="P184" s="137">
        <f t="shared" si="54"/>
        <v>96827.839999999997</v>
      </c>
      <c r="Q184" s="137">
        <f t="shared" si="62"/>
        <v>3.9787443512628862E-2</v>
      </c>
      <c r="R184" s="139">
        <f t="shared" si="63"/>
        <v>1.0325236751027762</v>
      </c>
      <c r="S184" s="169">
        <f t="shared" si="50"/>
        <v>2.1399999999999864E-2</v>
      </c>
      <c r="T184" s="157">
        <f t="shared" si="55"/>
        <v>5.8999999999986841E-3</v>
      </c>
      <c r="U184" s="137">
        <f t="shared" si="56"/>
        <v>96822.720000000001</v>
      </c>
      <c r="V184" s="137">
        <f t="shared" si="57"/>
        <v>96826.540000000008</v>
      </c>
      <c r="W184" s="137">
        <f t="shared" si="64"/>
        <v>4.2330690411795935E-2</v>
      </c>
      <c r="X184" s="139">
        <f t="shared" si="65"/>
        <v>1.0527166376415182</v>
      </c>
      <c r="AA184" s="128">
        <v>12.3264</v>
      </c>
      <c r="AB184" s="130">
        <v>12.305</v>
      </c>
      <c r="AC184" s="127">
        <v>11.65</v>
      </c>
    </row>
    <row r="185" spans="1:29" x14ac:dyDescent="0.3">
      <c r="A185" s="134">
        <v>44643</v>
      </c>
      <c r="B185" s="134">
        <v>44743</v>
      </c>
      <c r="C185" s="135">
        <f>NETWORKDAYS(A185,B185-1,Feriados!$A$2:$A$2000)</f>
        <v>69</v>
      </c>
      <c r="D185" s="128">
        <v>12.339600000000001</v>
      </c>
      <c r="E185" s="137">
        <f t="shared" si="51"/>
        <v>1.3200000000001211E-2</v>
      </c>
      <c r="F185" s="138">
        <f t="shared" si="52"/>
        <v>968.64271799999995</v>
      </c>
      <c r="G185" s="137">
        <f t="shared" si="58"/>
        <v>96864.27</v>
      </c>
      <c r="H185" s="137">
        <f t="shared" si="59"/>
        <v>4.291348146385765E-2</v>
      </c>
      <c r="I185" s="139">
        <f t="shared" si="60"/>
        <v>1.0334952504098955</v>
      </c>
      <c r="J185" s="134">
        <f t="shared" si="53"/>
        <v>44743</v>
      </c>
      <c r="K185" s="130">
        <v>12.32</v>
      </c>
      <c r="L185" s="137">
        <f t="shared" si="48"/>
        <v>1.5000000000000568E-2</v>
      </c>
      <c r="M185" s="137">
        <f t="shared" si="49"/>
        <v>96868.9</v>
      </c>
      <c r="N185" s="127">
        <v>11.65</v>
      </c>
      <c r="O185" s="140">
        <f t="shared" si="61"/>
        <v>-1.2900000000081491</v>
      </c>
      <c r="P185" s="137">
        <f t="shared" si="54"/>
        <v>96868.9</v>
      </c>
      <c r="Q185" s="137">
        <f t="shared" si="62"/>
        <v>4.2405159507841184E-2</v>
      </c>
      <c r="R185" s="139">
        <f t="shared" si="63"/>
        <v>1.0329615184141598</v>
      </c>
      <c r="S185" s="169">
        <f t="shared" si="50"/>
        <v>1.9600000000000506E-2</v>
      </c>
      <c r="T185" s="157">
        <f t="shared" si="55"/>
        <v>-1.7999999999993577E-3</v>
      </c>
      <c r="U185" s="137">
        <f t="shared" si="56"/>
        <v>96864.27</v>
      </c>
      <c r="V185" s="137">
        <f t="shared" si="57"/>
        <v>96865.560000000012</v>
      </c>
      <c r="W185" s="137">
        <f t="shared" si="64"/>
        <v>4.4245813379339971E-2</v>
      </c>
      <c r="X185" s="139">
        <f t="shared" si="65"/>
        <v>1.0531824206804223</v>
      </c>
      <c r="AA185" s="128">
        <v>12.339600000000001</v>
      </c>
      <c r="AB185" s="130">
        <v>12.32</v>
      </c>
      <c r="AC185" s="127">
        <v>11.65</v>
      </c>
    </row>
    <row r="186" spans="1:29" x14ac:dyDescent="0.3">
      <c r="A186" s="134">
        <v>44644</v>
      </c>
      <c r="B186" s="134">
        <v>44743</v>
      </c>
      <c r="C186" s="135">
        <f>NETWORKDAYS(A186,B186-1,Feriados!$A$2:$A$2000)</f>
        <v>68</v>
      </c>
      <c r="D186" s="128">
        <v>12.331899999999999</v>
      </c>
      <c r="E186" s="137">
        <f t="shared" si="51"/>
        <v>-7.7000000000015945E-3</v>
      </c>
      <c r="F186" s="138">
        <f t="shared" si="52"/>
        <v>969.10799799999995</v>
      </c>
      <c r="G186" s="137">
        <f t="shared" si="58"/>
        <v>96910.8</v>
      </c>
      <c r="H186" s="137">
        <f t="shared" si="59"/>
        <v>4.8036288303210384E-2</v>
      </c>
      <c r="I186" s="139">
        <f t="shared" si="60"/>
        <v>1.0339917031679824</v>
      </c>
      <c r="J186" s="134">
        <f t="shared" si="53"/>
        <v>44743</v>
      </c>
      <c r="K186" s="130">
        <v>12.305</v>
      </c>
      <c r="L186" s="137">
        <f t="shared" si="48"/>
        <v>-1.5000000000000568E-2</v>
      </c>
      <c r="M186" s="137">
        <f t="shared" si="49"/>
        <v>96917.06</v>
      </c>
      <c r="N186" s="127">
        <v>11.65</v>
      </c>
      <c r="O186" s="140">
        <f t="shared" si="61"/>
        <v>5.7899999999935972</v>
      </c>
      <c r="P186" s="137">
        <f t="shared" si="54"/>
        <v>96917.06</v>
      </c>
      <c r="Q186" s="137">
        <f t="shared" si="62"/>
        <v>4.9716678934119685E-2</v>
      </c>
      <c r="R186" s="139">
        <f t="shared" si="63"/>
        <v>1.0334750725757829</v>
      </c>
      <c r="S186" s="169">
        <f t="shared" si="50"/>
        <v>2.689999999999948E-2</v>
      </c>
      <c r="T186" s="157">
        <f t="shared" si="55"/>
        <v>7.299999999998974E-3</v>
      </c>
      <c r="U186" s="137">
        <f t="shared" si="56"/>
        <v>96910.8</v>
      </c>
      <c r="V186" s="137">
        <f t="shared" si="57"/>
        <v>96905.010000000009</v>
      </c>
      <c r="W186" s="137">
        <f t="shared" si="64"/>
        <v>4.2058852041115813E-2</v>
      </c>
      <c r="X186" s="139">
        <f t="shared" si="65"/>
        <v>1.0536253771164594</v>
      </c>
      <c r="AA186" s="128">
        <v>12.331899999999999</v>
      </c>
      <c r="AB186" s="130">
        <v>12.305</v>
      </c>
      <c r="AC186" s="127">
        <v>11.65</v>
      </c>
    </row>
    <row r="187" spans="1:29" x14ac:dyDescent="0.3">
      <c r="A187" s="134">
        <v>44645</v>
      </c>
      <c r="B187" s="134">
        <v>44743</v>
      </c>
      <c r="C187" s="135">
        <f>NETWORKDAYS(A187,B187-1,Feriados!$A$2:$A$2000)</f>
        <v>67</v>
      </c>
      <c r="D187" s="128">
        <v>12.313700000000001</v>
      </c>
      <c r="E187" s="137">
        <f t="shared" si="51"/>
        <v>-1.819999999999844E-2</v>
      </c>
      <c r="F187" s="138">
        <f t="shared" si="52"/>
        <v>969.59707500000002</v>
      </c>
      <c r="G187" s="137">
        <f t="shared" si="58"/>
        <v>96959.71</v>
      </c>
      <c r="H187" s="137">
        <f t="shared" si="59"/>
        <v>5.0469091164240254E-2</v>
      </c>
      <c r="I187" s="139">
        <f t="shared" si="60"/>
        <v>1.0345135493832849</v>
      </c>
      <c r="J187" s="134">
        <f t="shared" si="53"/>
        <v>44743</v>
      </c>
      <c r="K187" s="130">
        <v>12.29</v>
      </c>
      <c r="L187" s="137">
        <f t="shared" si="48"/>
        <v>-1.5000000000000568E-2</v>
      </c>
      <c r="M187" s="137">
        <f t="shared" si="49"/>
        <v>96965.15</v>
      </c>
      <c r="N187" s="127">
        <v>11.65</v>
      </c>
      <c r="O187" s="140">
        <f t="shared" si="61"/>
        <v>5.6999999999970896</v>
      </c>
      <c r="P187" s="137">
        <f t="shared" si="54"/>
        <v>96965.15</v>
      </c>
      <c r="Q187" s="137">
        <f t="shared" si="62"/>
        <v>4.9619747029061578E-2</v>
      </c>
      <c r="R187" s="139">
        <f t="shared" si="63"/>
        <v>1.0339878802924034</v>
      </c>
      <c r="S187" s="169">
        <f t="shared" si="50"/>
        <v>2.3700000000001609E-2</v>
      </c>
      <c r="T187" s="157">
        <f t="shared" si="55"/>
        <v>-3.1999999999978712E-3</v>
      </c>
      <c r="U187" s="137">
        <f t="shared" si="56"/>
        <v>96959.71</v>
      </c>
      <c r="V187" s="137">
        <f t="shared" si="57"/>
        <v>96954.010000000009</v>
      </c>
      <c r="W187" s="137">
        <f t="shared" si="64"/>
        <v>4.4587393768291683E-2</v>
      </c>
      <c r="X187" s="139">
        <f t="shared" si="65"/>
        <v>1.0540951612121969</v>
      </c>
      <c r="AA187" s="128">
        <v>12.313700000000001</v>
      </c>
      <c r="AB187" s="130">
        <v>12.29</v>
      </c>
      <c r="AC187" s="127">
        <v>11.65</v>
      </c>
    </row>
    <row r="188" spans="1:29" x14ac:dyDescent="0.3">
      <c r="A188" s="134">
        <v>44648</v>
      </c>
      <c r="B188" s="134">
        <v>44743</v>
      </c>
      <c r="C188" s="135">
        <f>NETWORKDAYS(A188,B188-1,Feriados!$A$2:$A$2000)</f>
        <v>66</v>
      </c>
      <c r="D188" s="128">
        <v>12.3056</v>
      </c>
      <c r="E188" s="137">
        <f t="shared" si="51"/>
        <v>-8.1000000000006622E-3</v>
      </c>
      <c r="F188" s="138">
        <f t="shared" si="52"/>
        <v>970.06230700000003</v>
      </c>
      <c r="G188" s="137">
        <f t="shared" si="58"/>
        <v>97006.23</v>
      </c>
      <c r="H188" s="137">
        <f t="shared" si="59"/>
        <v>4.7978691355399228E-2</v>
      </c>
      <c r="I188" s="139">
        <f t="shared" si="60"/>
        <v>1.0350098954461733</v>
      </c>
      <c r="J188" s="134">
        <f t="shared" si="53"/>
        <v>44743</v>
      </c>
      <c r="K188" s="130">
        <v>12.28</v>
      </c>
      <c r="L188" s="137">
        <f t="shared" si="48"/>
        <v>-9.9999999999997868E-3</v>
      </c>
      <c r="M188" s="137">
        <f t="shared" si="49"/>
        <v>97012.02</v>
      </c>
      <c r="N188" s="127">
        <v>11.65</v>
      </c>
      <c r="O188" s="140">
        <f t="shared" si="61"/>
        <v>4.4600000000064028</v>
      </c>
      <c r="P188" s="137">
        <f t="shared" si="54"/>
        <v>97012.02</v>
      </c>
      <c r="Q188" s="137">
        <f t="shared" si="62"/>
        <v>4.8336954049998937E-2</v>
      </c>
      <c r="R188" s="139">
        <f t="shared" si="63"/>
        <v>1.0344876785389829</v>
      </c>
      <c r="S188" s="169">
        <f t="shared" si="50"/>
        <v>2.5600000000000733E-2</v>
      </c>
      <c r="T188" s="157">
        <f t="shared" si="55"/>
        <v>1.8999999999991246E-3</v>
      </c>
      <c r="U188" s="137">
        <f t="shared" si="56"/>
        <v>97006.23</v>
      </c>
      <c r="V188" s="137">
        <f t="shared" si="57"/>
        <v>97001.76999999999</v>
      </c>
      <c r="W188" s="137">
        <f t="shared" si="64"/>
        <v>4.3378842614094637E-2</v>
      </c>
      <c r="X188" s="139">
        <f t="shared" si="65"/>
        <v>1.054552415493182</v>
      </c>
      <c r="AA188" s="128">
        <v>12.3056</v>
      </c>
      <c r="AB188" s="130">
        <v>12.28</v>
      </c>
      <c r="AC188" s="127">
        <v>11.65</v>
      </c>
    </row>
    <row r="189" spans="1:29" x14ac:dyDescent="0.3">
      <c r="A189" s="134">
        <v>44649</v>
      </c>
      <c r="B189" s="134">
        <v>44743</v>
      </c>
      <c r="C189" s="135">
        <f>NETWORKDAYS(A189,B189-1,Feriados!$A$2:$A$2000)</f>
        <v>65</v>
      </c>
      <c r="D189" s="128">
        <v>12.313700000000001</v>
      </c>
      <c r="E189" s="137">
        <f t="shared" si="51"/>
        <v>8.1000000000006622E-3</v>
      </c>
      <c r="F189" s="138">
        <f t="shared" si="52"/>
        <v>970.49109799999997</v>
      </c>
      <c r="G189" s="137">
        <f t="shared" si="58"/>
        <v>97049.11</v>
      </c>
      <c r="H189" s="137">
        <f t="shared" si="59"/>
        <v>4.420334652732727E-2</v>
      </c>
      <c r="I189" s="139">
        <f t="shared" si="60"/>
        <v>1.0354674044568495</v>
      </c>
      <c r="J189" s="134">
        <f t="shared" si="53"/>
        <v>44743</v>
      </c>
      <c r="K189" s="130">
        <v>12.285</v>
      </c>
      <c r="L189" s="137">
        <f t="shared" si="48"/>
        <v>5.0000000000007816E-3</v>
      </c>
      <c r="M189" s="137">
        <f t="shared" si="49"/>
        <v>97055.51</v>
      </c>
      <c r="N189" s="127">
        <v>11.65</v>
      </c>
      <c r="O189" s="140">
        <f t="shared" si="61"/>
        <v>1.0599999999976717</v>
      </c>
      <c r="P189" s="137">
        <f t="shared" si="54"/>
        <v>97055.51</v>
      </c>
      <c r="Q189" s="137">
        <f t="shared" si="62"/>
        <v>4.4829496386111778E-2</v>
      </c>
      <c r="R189" s="139">
        <f t="shared" si="63"/>
        <v>1.0349514341554484</v>
      </c>
      <c r="S189" s="169">
        <f t="shared" si="50"/>
        <v>2.8700000000000614E-2</v>
      </c>
      <c r="T189" s="157">
        <f t="shared" si="55"/>
        <v>3.0999999999998806E-3</v>
      </c>
      <c r="U189" s="137">
        <f t="shared" si="56"/>
        <v>97049.11</v>
      </c>
      <c r="V189" s="137">
        <f t="shared" si="57"/>
        <v>97048.05</v>
      </c>
      <c r="W189" s="137">
        <f t="shared" si="64"/>
        <v>4.3110633203657933E-2</v>
      </c>
      <c r="X189" s="139">
        <f t="shared" si="65"/>
        <v>1.0550070397169655</v>
      </c>
      <c r="AA189" s="128">
        <v>12.313700000000001</v>
      </c>
      <c r="AB189" s="130">
        <v>12.285</v>
      </c>
      <c r="AC189" s="127">
        <v>11.65</v>
      </c>
    </row>
    <row r="190" spans="1:29" x14ac:dyDescent="0.3">
      <c r="A190" s="134">
        <v>44650</v>
      </c>
      <c r="B190" s="134">
        <v>44743</v>
      </c>
      <c r="C190" s="135">
        <f>NETWORKDAYS(A190,B190-1,Feriados!$A$2:$A$2000)</f>
        <v>64</v>
      </c>
      <c r="D190" s="128">
        <v>12.330500000000001</v>
      </c>
      <c r="E190" s="137">
        <f t="shared" si="51"/>
        <v>1.6799999999999926E-2</v>
      </c>
      <c r="F190" s="138">
        <f t="shared" si="52"/>
        <v>970.90153799999996</v>
      </c>
      <c r="G190" s="137">
        <f t="shared" si="58"/>
        <v>97090.15</v>
      </c>
      <c r="H190" s="137">
        <f t="shared" si="59"/>
        <v>4.2287868482260293E-2</v>
      </c>
      <c r="I190" s="139">
        <f t="shared" si="60"/>
        <v>1.0359052815510228</v>
      </c>
      <c r="J190" s="134">
        <f t="shared" si="53"/>
        <v>44743</v>
      </c>
      <c r="K190" s="130">
        <v>12.3</v>
      </c>
      <c r="L190" s="137">
        <f t="shared" si="48"/>
        <v>1.5000000000000568E-2</v>
      </c>
      <c r="M190" s="137">
        <f t="shared" si="49"/>
        <v>97096.85</v>
      </c>
      <c r="N190" s="127">
        <v>11.65</v>
      </c>
      <c r="O190" s="140">
        <f t="shared" si="61"/>
        <v>-1.1100000000005821</v>
      </c>
      <c r="P190" s="137">
        <f t="shared" si="54"/>
        <v>97096.85</v>
      </c>
      <c r="Q190" s="137">
        <f t="shared" si="62"/>
        <v>4.2594181412280996E-2</v>
      </c>
      <c r="R190" s="139">
        <f t="shared" si="63"/>
        <v>1.0353922632468415</v>
      </c>
      <c r="S190" s="169">
        <f t="shared" si="50"/>
        <v>3.0499999999999972E-2</v>
      </c>
      <c r="T190" s="157">
        <f t="shared" si="55"/>
        <v>1.7999999999993577E-3</v>
      </c>
      <c r="U190" s="137">
        <f t="shared" si="56"/>
        <v>97090.15</v>
      </c>
      <c r="V190" s="137">
        <f t="shared" si="57"/>
        <v>97091.26</v>
      </c>
      <c r="W190" s="137">
        <f t="shared" si="64"/>
        <v>4.3431619311085079E-2</v>
      </c>
      <c r="X190" s="139">
        <f t="shared" si="65"/>
        <v>1.0554652463581606</v>
      </c>
      <c r="AA190" s="128">
        <v>12.330500000000001</v>
      </c>
      <c r="AB190" s="130">
        <v>12.3</v>
      </c>
      <c r="AC190" s="127">
        <v>11.65</v>
      </c>
    </row>
    <row r="191" spans="1:29" x14ac:dyDescent="0.3">
      <c r="A191" s="134">
        <v>44651</v>
      </c>
      <c r="B191" s="134">
        <v>44743</v>
      </c>
      <c r="C191" s="135">
        <f>NETWORKDAYS(A191,B191-1,Feriados!$A$2:$A$2000)</f>
        <v>63</v>
      </c>
      <c r="D191" s="128">
        <v>12.339600000000001</v>
      </c>
      <c r="E191" s="137">
        <f t="shared" si="51"/>
        <v>9.100000000000108E-3</v>
      </c>
      <c r="F191" s="138">
        <f t="shared" si="52"/>
        <v>971.32995300000005</v>
      </c>
      <c r="G191" s="137">
        <f t="shared" si="58"/>
        <v>97133</v>
      </c>
      <c r="H191" s="137">
        <f t="shared" si="59"/>
        <v>4.4134240188120621E-2</v>
      </c>
      <c r="I191" s="139">
        <f t="shared" si="60"/>
        <v>1.0363624704761039</v>
      </c>
      <c r="J191" s="134">
        <f t="shared" si="53"/>
        <v>44743</v>
      </c>
      <c r="K191" s="130">
        <v>12.31</v>
      </c>
      <c r="L191" s="137">
        <f t="shared" si="48"/>
        <v>9.9999999999997868E-3</v>
      </c>
      <c r="M191" s="137">
        <f t="shared" si="49"/>
        <v>97139.39</v>
      </c>
      <c r="N191" s="127">
        <v>11.65</v>
      </c>
      <c r="O191" s="140">
        <f t="shared" si="61"/>
        <v>6.9999999992433004E-2</v>
      </c>
      <c r="P191" s="137">
        <f t="shared" si="54"/>
        <v>97139.39</v>
      </c>
      <c r="Q191" s="137">
        <f t="shared" si="62"/>
        <v>4.3811925927550455E-2</v>
      </c>
      <c r="R191" s="139">
        <f t="shared" si="63"/>
        <v>1.0358458885382749</v>
      </c>
      <c r="S191" s="169">
        <f t="shared" si="50"/>
        <v>2.9600000000000293E-2</v>
      </c>
      <c r="T191" s="157">
        <f t="shared" si="55"/>
        <v>-8.9999999999967883E-4</v>
      </c>
      <c r="U191" s="137">
        <f t="shared" si="56"/>
        <v>97133</v>
      </c>
      <c r="V191" s="137">
        <f t="shared" si="57"/>
        <v>97132.930000000008</v>
      </c>
      <c r="W191" s="137">
        <f t="shared" si="64"/>
        <v>4.4062142246170666E-2</v>
      </c>
      <c r="X191" s="139">
        <f t="shared" si="65"/>
        <v>1.0559303069563699</v>
      </c>
      <c r="AA191" s="128">
        <v>12.339600000000001</v>
      </c>
      <c r="AB191" s="130">
        <v>12.31</v>
      </c>
      <c r="AC191" s="127">
        <v>11.65</v>
      </c>
    </row>
    <row r="192" spans="1:29" x14ac:dyDescent="0.3">
      <c r="A192" s="134">
        <v>44652</v>
      </c>
      <c r="B192" s="134">
        <v>44743</v>
      </c>
      <c r="C192" s="135">
        <f>NETWORKDAYS(A192,B192-1,Feriados!$A$2:$A$2000)</f>
        <v>62</v>
      </c>
      <c r="D192" s="128">
        <v>12.3314</v>
      </c>
      <c r="E192" s="137">
        <f t="shared" si="51"/>
        <v>-8.2000000000004292E-3</v>
      </c>
      <c r="F192" s="138">
        <f t="shared" si="52"/>
        <v>971.79600300000004</v>
      </c>
      <c r="G192" s="137">
        <f t="shared" si="58"/>
        <v>97179.6</v>
      </c>
      <c r="H192" s="137">
        <f t="shared" si="59"/>
        <v>4.7975456333082533E-2</v>
      </c>
      <c r="I192" s="139">
        <f t="shared" si="60"/>
        <v>1.0368596701005797</v>
      </c>
      <c r="J192" s="134">
        <f t="shared" si="53"/>
        <v>44743</v>
      </c>
      <c r="K192" s="130">
        <v>12.304</v>
      </c>
      <c r="L192" s="137">
        <f t="shared" si="48"/>
        <v>-6.0000000000002274E-3</v>
      </c>
      <c r="M192" s="137">
        <f t="shared" si="49"/>
        <v>97185.43</v>
      </c>
      <c r="N192" s="127">
        <v>11.65</v>
      </c>
      <c r="O192" s="140">
        <f t="shared" si="61"/>
        <v>3.5499999999883585</v>
      </c>
      <c r="P192" s="137">
        <f t="shared" si="54"/>
        <v>97185.43</v>
      </c>
      <c r="Q192" s="137">
        <f t="shared" si="62"/>
        <v>4.7395809259254129E-2</v>
      </c>
      <c r="R192" s="139">
        <f t="shared" si="63"/>
        <v>1.0363368360798262</v>
      </c>
      <c r="S192" s="169">
        <f t="shared" si="50"/>
        <v>2.7400000000000091E-2</v>
      </c>
      <c r="T192" s="157">
        <f t="shared" si="55"/>
        <v>-2.2000000000002018E-3</v>
      </c>
      <c r="U192" s="137">
        <f t="shared" si="56"/>
        <v>97179.6</v>
      </c>
      <c r="V192" s="137">
        <f t="shared" si="57"/>
        <v>97176.050000000017</v>
      </c>
      <c r="W192" s="137">
        <f t="shared" si="64"/>
        <v>4.4320673715447789E-2</v>
      </c>
      <c r="X192" s="139">
        <f t="shared" si="65"/>
        <v>1.0563983023823786</v>
      </c>
      <c r="AA192" s="128">
        <v>12.3314</v>
      </c>
      <c r="AB192" s="130">
        <v>12.304</v>
      </c>
      <c r="AC192" s="127">
        <v>11.65</v>
      </c>
    </row>
    <row r="193" spans="1:29" x14ac:dyDescent="0.3">
      <c r="A193" s="134">
        <v>44655</v>
      </c>
      <c r="B193" s="134">
        <v>44743</v>
      </c>
      <c r="C193" s="135">
        <f>NETWORKDAYS(A193,B193-1,Feriados!$A$2:$A$2000)</f>
        <v>61</v>
      </c>
      <c r="D193" s="128">
        <v>12.348800000000001</v>
      </c>
      <c r="E193" s="137">
        <f t="shared" si="51"/>
        <v>1.7400000000000304E-2</v>
      </c>
      <c r="F193" s="138">
        <f t="shared" si="52"/>
        <v>972.20808199999999</v>
      </c>
      <c r="G193" s="137">
        <f t="shared" si="58"/>
        <v>97220.81</v>
      </c>
      <c r="H193" s="137">
        <f t="shared" si="59"/>
        <v>4.2406019370311299E-2</v>
      </c>
      <c r="I193" s="139">
        <f t="shared" si="60"/>
        <v>1.0372993610131254</v>
      </c>
      <c r="J193" s="134">
        <f t="shared" si="53"/>
        <v>44743</v>
      </c>
      <c r="K193" s="130">
        <v>12.32</v>
      </c>
      <c r="L193" s="137">
        <f t="shared" si="48"/>
        <v>1.6000000000000014E-2</v>
      </c>
      <c r="M193" s="137">
        <f t="shared" si="49"/>
        <v>97226.84</v>
      </c>
      <c r="N193" s="127">
        <v>11.65</v>
      </c>
      <c r="O193" s="140">
        <f t="shared" si="61"/>
        <v>-1.1000000000058208</v>
      </c>
      <c r="P193" s="137">
        <f t="shared" si="54"/>
        <v>97226.84</v>
      </c>
      <c r="Q193" s="137">
        <f t="shared" si="62"/>
        <v>4.2609267664928119E-2</v>
      </c>
      <c r="R193" s="139">
        <f t="shared" si="63"/>
        <v>1.0367784116162218</v>
      </c>
      <c r="S193" s="169">
        <f t="shared" si="50"/>
        <v>2.8800000000000381E-2</v>
      </c>
      <c r="T193" s="157">
        <f t="shared" si="55"/>
        <v>1.4000000000002899E-3</v>
      </c>
      <c r="U193" s="137">
        <f t="shared" si="56"/>
        <v>97220.81</v>
      </c>
      <c r="V193" s="137">
        <f t="shared" si="57"/>
        <v>97221.91</v>
      </c>
      <c r="W193" s="137">
        <f t="shared" si="64"/>
        <v>4.3537944177574062E-2</v>
      </c>
      <c r="X193" s="139">
        <f t="shared" si="65"/>
        <v>1.0568582364855628</v>
      </c>
      <c r="AA193" s="128">
        <v>12.348800000000001</v>
      </c>
      <c r="AB193" s="130">
        <v>12.32</v>
      </c>
      <c r="AC193" s="127">
        <v>11.65</v>
      </c>
    </row>
    <row r="194" spans="1:29" x14ac:dyDescent="0.3">
      <c r="A194" s="134">
        <v>44656</v>
      </c>
      <c r="B194" s="134">
        <v>44743</v>
      </c>
      <c r="C194" s="135">
        <f>NETWORKDAYS(A194,B194-1,Feriados!$A$2:$A$2000)</f>
        <v>60</v>
      </c>
      <c r="D194" s="128">
        <v>12.361000000000001</v>
      </c>
      <c r="E194" s="137">
        <f t="shared" si="51"/>
        <v>1.2199999999999989E-2</v>
      </c>
      <c r="F194" s="138">
        <f t="shared" si="52"/>
        <v>972.63225399999999</v>
      </c>
      <c r="G194" s="137">
        <f t="shared" si="58"/>
        <v>97263.23</v>
      </c>
      <c r="H194" s="137">
        <f t="shared" si="59"/>
        <v>4.3632633795165354E-2</v>
      </c>
      <c r="I194" s="139">
        <f t="shared" si="60"/>
        <v>1.0377519620446758</v>
      </c>
      <c r="J194" s="134">
        <f t="shared" si="53"/>
        <v>44743</v>
      </c>
      <c r="K194" s="130">
        <v>12.332000000000001</v>
      </c>
      <c r="L194" s="137">
        <f t="shared" ref="L194:L254" si="66">+K194-K193</f>
        <v>1.2000000000000455E-2</v>
      </c>
      <c r="M194" s="137">
        <f t="shared" ref="M194:M253" si="67">+ROUND((100000/(1+K194/100)^(C194/252)),2)</f>
        <v>97269.2</v>
      </c>
      <c r="N194" s="127">
        <v>11.65</v>
      </c>
      <c r="O194" s="140">
        <f t="shared" si="61"/>
        <v>-0.16999999999825377</v>
      </c>
      <c r="P194" s="137">
        <f t="shared" si="54"/>
        <v>97269.2</v>
      </c>
      <c r="Q194" s="137">
        <f t="shared" si="62"/>
        <v>4.3568216348499611E-2</v>
      </c>
      <c r="R194" s="139">
        <f t="shared" si="63"/>
        <v>1.0372301174776493</v>
      </c>
      <c r="S194" s="169">
        <f t="shared" ref="S194:S254" si="68">+D194-K194</f>
        <v>2.8999999999999915E-2</v>
      </c>
      <c r="T194" s="157">
        <f t="shared" si="55"/>
        <v>1.9999999999953388E-4</v>
      </c>
      <c r="U194" s="137">
        <f t="shared" si="56"/>
        <v>97263.23</v>
      </c>
      <c r="V194" s="137">
        <f t="shared" si="57"/>
        <v>97263.4</v>
      </c>
      <c r="W194" s="137">
        <f t="shared" si="64"/>
        <v>4.3807493477987514E-2</v>
      </c>
      <c r="X194" s="139">
        <f t="shared" si="65"/>
        <v>1.0573212195885828</v>
      </c>
      <c r="AA194" s="128">
        <v>12.361000000000001</v>
      </c>
      <c r="AB194" s="130">
        <v>12.332000000000001</v>
      </c>
      <c r="AC194" s="127">
        <v>11.65</v>
      </c>
    </row>
    <row r="195" spans="1:29" x14ac:dyDescent="0.3">
      <c r="A195" s="134">
        <v>44657</v>
      </c>
      <c r="B195" s="134">
        <v>44743</v>
      </c>
      <c r="C195" s="135">
        <f>NETWORKDAYS(A195,B195-1,Feriados!$A$2:$A$2000)</f>
        <v>59</v>
      </c>
      <c r="D195" s="128">
        <v>12.3729</v>
      </c>
      <c r="E195" s="137">
        <f t="shared" ref="E195:E254" si="69">+D195-D194</f>
        <v>1.1899999999998911E-2</v>
      </c>
      <c r="F195" s="138">
        <f t="shared" ref="F195:F253" si="70">+TRUNC((1000/(1+D195/100)^(C195/252)),6)</f>
        <v>973.05806099999995</v>
      </c>
      <c r="G195" s="137">
        <f t="shared" si="58"/>
        <v>97305.81</v>
      </c>
      <c r="H195" s="137">
        <f t="shared" si="59"/>
        <v>4.3778106073588674E-2</v>
      </c>
      <c r="I195" s="139">
        <f t="shared" si="60"/>
        <v>1.0382062701994004</v>
      </c>
      <c r="J195" s="134">
        <f t="shared" ref="J195:K254" si="71">+J194</f>
        <v>44743</v>
      </c>
      <c r="K195" s="130">
        <v>12.343999999999999</v>
      </c>
      <c r="L195" s="137">
        <f t="shared" si="66"/>
        <v>1.1999999999998678E-2</v>
      </c>
      <c r="M195" s="137">
        <f t="shared" si="67"/>
        <v>97311.67</v>
      </c>
      <c r="N195" s="127">
        <v>11.65</v>
      </c>
      <c r="O195" s="140">
        <f t="shared" si="61"/>
        <v>-7.0000000006984919E-2</v>
      </c>
      <c r="P195" s="137">
        <f t="shared" ref="P195:P258" si="72">+ROUND(((1+N194/100)^(1/252))*P194,2)+O195</f>
        <v>97311.67</v>
      </c>
      <c r="Q195" s="137">
        <f t="shared" si="62"/>
        <v>4.3662330933114113E-2</v>
      </c>
      <c r="R195" s="139">
        <f t="shared" si="63"/>
        <v>1.0376829963240803</v>
      </c>
      <c r="S195" s="169">
        <f t="shared" si="68"/>
        <v>2.8900000000000148E-2</v>
      </c>
      <c r="T195" s="157">
        <f t="shared" ref="T195:T254" si="73">+S195-S194</f>
        <v>-9.9999999999766942E-5</v>
      </c>
      <c r="U195" s="137">
        <f t="shared" ref="U195:U254" si="74">+G195</f>
        <v>97305.81</v>
      </c>
      <c r="V195" s="137">
        <f t="shared" ref="V195:V258" si="75">+U195-O195</f>
        <v>97305.88</v>
      </c>
      <c r="W195" s="137">
        <f t="shared" si="64"/>
        <v>4.3850075717211112E-2</v>
      </c>
      <c r="X195" s="139">
        <f t="shared" si="65"/>
        <v>1.0577848557439467</v>
      </c>
      <c r="AA195" s="128">
        <v>12.3729</v>
      </c>
      <c r="AB195" s="130">
        <v>12.343999999999999</v>
      </c>
      <c r="AC195" s="127">
        <v>11.65</v>
      </c>
    </row>
    <row r="196" spans="1:29" x14ac:dyDescent="0.3">
      <c r="A196" s="134">
        <v>44658</v>
      </c>
      <c r="B196" s="134">
        <v>44743</v>
      </c>
      <c r="C196" s="135">
        <f>NETWORKDAYS(A196,B196-1,Feriados!$A$2:$A$2000)</f>
        <v>58</v>
      </c>
      <c r="D196" s="128">
        <v>12.393599999999999</v>
      </c>
      <c r="E196" s="137">
        <f t="shared" si="69"/>
        <v>2.0699999999999719E-2</v>
      </c>
      <c r="F196" s="138">
        <f t="shared" si="70"/>
        <v>973.46733200000006</v>
      </c>
      <c r="G196" s="137">
        <f t="shared" ref="G196:G254" si="76">ROUND(100*F196,2)</f>
        <v>97346.73</v>
      </c>
      <c r="H196" s="137">
        <f t="shared" ref="H196:H254" si="77">+(G196/G195-1)*100</f>
        <v>4.2052987380714058E-2</v>
      </c>
      <c r="I196" s="139">
        <f t="shared" ref="I196:I254" si="78">+I195*(1+H196/100)</f>
        <v>1.0386428669511931</v>
      </c>
      <c r="J196" s="134">
        <f t="shared" si="71"/>
        <v>44743</v>
      </c>
      <c r="K196" s="130">
        <v>12.362</v>
      </c>
      <c r="L196" s="137">
        <f t="shared" si="66"/>
        <v>1.8000000000000682E-2</v>
      </c>
      <c r="M196" s="137">
        <f t="shared" si="67"/>
        <v>97353.03</v>
      </c>
      <c r="N196" s="127">
        <v>11.65</v>
      </c>
      <c r="O196" s="140">
        <f t="shared" ref="O196:O254" si="79">M196-(ROUND(((1+N195/100)^(1/252))*M195,2))</f>
        <v>-1.1999999999970896</v>
      </c>
      <c r="P196" s="137">
        <f t="shared" si="72"/>
        <v>97353.03</v>
      </c>
      <c r="Q196" s="137">
        <f t="shared" si="62"/>
        <v>4.2502610426886633E-2</v>
      </c>
      <c r="R196" s="139">
        <f t="shared" si="63"/>
        <v>1.038124038685474</v>
      </c>
      <c r="S196" s="169">
        <f t="shared" si="68"/>
        <v>3.1599999999999184E-2</v>
      </c>
      <c r="T196" s="157">
        <f t="shared" si="73"/>
        <v>2.6999999999990365E-3</v>
      </c>
      <c r="U196" s="137">
        <f t="shared" si="74"/>
        <v>97346.73</v>
      </c>
      <c r="V196" s="137">
        <f t="shared" si="75"/>
        <v>97347.93</v>
      </c>
      <c r="W196" s="137">
        <f t="shared" si="64"/>
        <v>4.3286212817084113E-2</v>
      </c>
      <c r="X196" s="139">
        <f t="shared" si="65"/>
        <v>1.0582427307477509</v>
      </c>
      <c r="AA196" s="128">
        <v>12.393599999999999</v>
      </c>
      <c r="AB196" s="130">
        <v>12.362</v>
      </c>
      <c r="AC196" s="127">
        <v>11.65</v>
      </c>
    </row>
    <row r="197" spans="1:29" x14ac:dyDescent="0.3">
      <c r="A197" s="134">
        <v>44659</v>
      </c>
      <c r="B197" s="134">
        <v>44743</v>
      </c>
      <c r="C197" s="135">
        <f>NETWORKDAYS(A197,B197-1,Feriados!$A$2:$A$2000)</f>
        <v>57</v>
      </c>
      <c r="D197" s="128">
        <v>12.443300000000001</v>
      </c>
      <c r="E197" s="137">
        <f t="shared" si="69"/>
        <v>4.970000000000141E-2</v>
      </c>
      <c r="F197" s="138">
        <f t="shared" si="70"/>
        <v>973.82138699999996</v>
      </c>
      <c r="G197" s="137">
        <f t="shared" si="76"/>
        <v>97382.14</v>
      </c>
      <c r="H197" s="137">
        <f t="shared" si="77"/>
        <v>3.6375130422983126E-2</v>
      </c>
      <c r="I197" s="139">
        <f t="shared" si="78"/>
        <v>1.0390206746486756</v>
      </c>
      <c r="J197" s="134">
        <f t="shared" si="71"/>
        <v>44743</v>
      </c>
      <c r="K197" s="130">
        <v>12.412000000000001</v>
      </c>
      <c r="L197" s="137">
        <f t="shared" si="66"/>
        <v>5.0000000000000711E-2</v>
      </c>
      <c r="M197" s="137">
        <f t="shared" si="67"/>
        <v>97388.27</v>
      </c>
      <c r="N197" s="127">
        <v>11.65</v>
      </c>
      <c r="O197" s="140">
        <f t="shared" si="79"/>
        <v>-7.3399999999965075</v>
      </c>
      <c r="P197" s="137">
        <f t="shared" si="72"/>
        <v>97388.27</v>
      </c>
      <c r="Q197" s="137">
        <f t="shared" si="62"/>
        <v>3.6198154284461381E-2</v>
      </c>
      <c r="R197" s="139">
        <f t="shared" si="63"/>
        <v>1.0384998204266613</v>
      </c>
      <c r="S197" s="169">
        <f t="shared" si="68"/>
        <v>3.1299999999999883E-2</v>
      </c>
      <c r="T197" s="157">
        <f t="shared" si="73"/>
        <v>-2.9999999999930083E-4</v>
      </c>
      <c r="U197" s="137">
        <f t="shared" si="74"/>
        <v>97382.14</v>
      </c>
      <c r="V197" s="137">
        <f t="shared" si="75"/>
        <v>97389.48</v>
      </c>
      <c r="W197" s="137">
        <f t="shared" si="64"/>
        <v>4.3915188522514192E-2</v>
      </c>
      <c r="X197" s="139">
        <f t="shared" si="65"/>
        <v>1.0587074600379847</v>
      </c>
      <c r="AA197" s="128">
        <v>12.443300000000001</v>
      </c>
      <c r="AB197" s="130">
        <v>12.412000000000001</v>
      </c>
      <c r="AC197" s="127">
        <v>11.65</v>
      </c>
    </row>
    <row r="198" spans="1:29" x14ac:dyDescent="0.3">
      <c r="A198" s="134">
        <v>44662</v>
      </c>
      <c r="B198" s="134">
        <v>44743</v>
      </c>
      <c r="C198" s="135">
        <f>NETWORKDAYS(A198,B198-1,Feriados!$A$2:$A$2000)</f>
        <v>56</v>
      </c>
      <c r="D198" s="128">
        <v>12.506</v>
      </c>
      <c r="E198" s="137">
        <f t="shared" si="69"/>
        <v>6.2699999999999534E-2</v>
      </c>
      <c r="F198" s="138">
        <f t="shared" si="70"/>
        <v>974.15401699999995</v>
      </c>
      <c r="G198" s="137">
        <f t="shared" si="76"/>
        <v>97415.4</v>
      </c>
      <c r="H198" s="137">
        <f t="shared" si="77"/>
        <v>3.4154106697581454E-2</v>
      </c>
      <c r="I198" s="139">
        <f t="shared" si="78"/>
        <v>1.039375542878505</v>
      </c>
      <c r="J198" s="134">
        <f t="shared" si="71"/>
        <v>44743</v>
      </c>
      <c r="K198" s="130">
        <v>12.474</v>
      </c>
      <c r="L198" s="137">
        <f t="shared" si="66"/>
        <v>6.1999999999999389E-2</v>
      </c>
      <c r="M198" s="137">
        <f t="shared" si="67"/>
        <v>97421.56</v>
      </c>
      <c r="N198" s="127">
        <v>11.65</v>
      </c>
      <c r="O198" s="140">
        <f t="shared" si="79"/>
        <v>-9.3099999999976717</v>
      </c>
      <c r="P198" s="137">
        <f t="shared" si="72"/>
        <v>97421.56</v>
      </c>
      <c r="Q198" s="137">
        <f t="shared" si="62"/>
        <v>3.4182761435230802E-2</v>
      </c>
      <c r="R198" s="139">
        <f t="shared" si="63"/>
        <v>1.0388548083427831</v>
      </c>
      <c r="S198" s="169">
        <f t="shared" si="68"/>
        <v>3.2000000000000028E-2</v>
      </c>
      <c r="T198" s="157">
        <f t="shared" si="73"/>
        <v>7.0000000000014495E-4</v>
      </c>
      <c r="U198" s="137">
        <f t="shared" si="74"/>
        <v>97415.4</v>
      </c>
      <c r="V198" s="137">
        <f t="shared" si="75"/>
        <v>97424.709999999992</v>
      </c>
      <c r="W198" s="137">
        <f t="shared" si="64"/>
        <v>4.3714381302351057E-2</v>
      </c>
      <c r="X198" s="139">
        <f t="shared" si="65"/>
        <v>1.059170267453942</v>
      </c>
      <c r="AA198" s="128">
        <v>12.506</v>
      </c>
      <c r="AB198" s="130">
        <v>12.474</v>
      </c>
      <c r="AC198" s="127">
        <v>11.65</v>
      </c>
    </row>
    <row r="199" spans="1:29" x14ac:dyDescent="0.3">
      <c r="A199" s="134">
        <v>44663</v>
      </c>
      <c r="B199" s="134">
        <v>44743</v>
      </c>
      <c r="C199" s="135">
        <f>NETWORKDAYS(A199,B199-1,Feriados!$A$2:$A$2000)</f>
        <v>55</v>
      </c>
      <c r="D199" s="128">
        <v>12.509499999999999</v>
      </c>
      <c r="E199" s="137">
        <f t="shared" si="69"/>
        <v>3.4999999999989484E-3</v>
      </c>
      <c r="F199" s="138">
        <f t="shared" si="70"/>
        <v>974.603025</v>
      </c>
      <c r="G199" s="137">
        <f t="shared" si="76"/>
        <v>97460.3</v>
      </c>
      <c r="H199" s="137">
        <f t="shared" si="77"/>
        <v>4.6091275096138418E-2</v>
      </c>
      <c r="I199" s="139">
        <f t="shared" si="78"/>
        <v>1.0398546043192551</v>
      </c>
      <c r="J199" s="134">
        <f t="shared" si="71"/>
        <v>44743</v>
      </c>
      <c r="K199" s="130">
        <v>12.476000000000001</v>
      </c>
      <c r="L199" s="137">
        <f t="shared" si="66"/>
        <v>2.0000000000006679E-3</v>
      </c>
      <c r="M199" s="137">
        <f t="shared" si="67"/>
        <v>97466.64</v>
      </c>
      <c r="N199" s="127">
        <v>11.65</v>
      </c>
      <c r="O199" s="140">
        <f t="shared" si="79"/>
        <v>2.4700000000011642</v>
      </c>
      <c r="P199" s="137">
        <f t="shared" si="72"/>
        <v>97466.64</v>
      </c>
      <c r="Q199" s="137">
        <f t="shared" si="62"/>
        <v>4.627312475802281E-2</v>
      </c>
      <c r="R199" s="139">
        <f t="shared" si="63"/>
        <v>1.0393355189243023</v>
      </c>
      <c r="S199" s="169">
        <f t="shared" si="68"/>
        <v>3.3499999999998309E-2</v>
      </c>
      <c r="T199" s="157">
        <f t="shared" si="73"/>
        <v>1.4999999999982805E-3</v>
      </c>
      <c r="U199" s="137">
        <f t="shared" si="74"/>
        <v>97460.3</v>
      </c>
      <c r="V199" s="137">
        <f t="shared" si="75"/>
        <v>97457.83</v>
      </c>
      <c r="W199" s="137">
        <f t="shared" si="64"/>
        <v>4.355574169998544E-2</v>
      </c>
      <c r="X199" s="139">
        <f t="shared" si="65"/>
        <v>1.0596315969197974</v>
      </c>
      <c r="AA199" s="128">
        <v>12.509499999999999</v>
      </c>
      <c r="AB199" s="130">
        <v>12.476000000000001</v>
      </c>
      <c r="AC199" s="127">
        <v>11.65</v>
      </c>
    </row>
    <row r="200" spans="1:29" x14ac:dyDescent="0.3">
      <c r="A200" s="134">
        <v>44664</v>
      </c>
      <c r="B200" s="134">
        <v>44743</v>
      </c>
      <c r="C200" s="135">
        <f>NETWORKDAYS(A200,B200-1,Feriados!$A$2:$A$2000)</f>
        <v>54</v>
      </c>
      <c r="D200" s="128">
        <v>12.516500000000001</v>
      </c>
      <c r="E200" s="137">
        <f t="shared" si="69"/>
        <v>7.0000000000014495E-3</v>
      </c>
      <c r="F200" s="138">
        <f t="shared" si="70"/>
        <v>975.04598099999998</v>
      </c>
      <c r="G200" s="137">
        <f t="shared" si="76"/>
        <v>97504.6</v>
      </c>
      <c r="H200" s="137">
        <f t="shared" si="77"/>
        <v>4.545440553742619E-2</v>
      </c>
      <c r="I200" s="139">
        <f t="shared" si="78"/>
        <v>1.0403272640481021</v>
      </c>
      <c r="J200" s="134">
        <f t="shared" si="71"/>
        <v>44743</v>
      </c>
      <c r="K200" s="130">
        <v>12.484</v>
      </c>
      <c r="L200" s="137">
        <f t="shared" si="66"/>
        <v>7.9999999999991189E-3</v>
      </c>
      <c r="M200" s="137">
        <f t="shared" si="67"/>
        <v>97510.63</v>
      </c>
      <c r="N200" s="127">
        <v>11.65</v>
      </c>
      <c r="O200" s="140">
        <f t="shared" si="79"/>
        <v>1.3600000000005821</v>
      </c>
      <c r="P200" s="137">
        <f t="shared" si="72"/>
        <v>97510.63</v>
      </c>
      <c r="Q200" s="137">
        <f t="shared" si="62"/>
        <v>4.5133391281360069E-2</v>
      </c>
      <c r="R200" s="139">
        <f t="shared" si="63"/>
        <v>1.0398046062907846</v>
      </c>
      <c r="S200" s="169">
        <f t="shared" si="68"/>
        <v>3.2500000000000639E-2</v>
      </c>
      <c r="T200" s="157">
        <f t="shared" si="73"/>
        <v>-9.9999999999766942E-4</v>
      </c>
      <c r="U200" s="137">
        <f t="shared" si="74"/>
        <v>97504.6</v>
      </c>
      <c r="V200" s="137">
        <f t="shared" si="75"/>
        <v>97503.24</v>
      </c>
      <c r="W200" s="137">
        <f t="shared" si="64"/>
        <v>4.4058965548021689E-2</v>
      </c>
      <c r="X200" s="139">
        <f t="shared" si="65"/>
        <v>1.0600984596400203</v>
      </c>
      <c r="AA200" s="128">
        <v>12.516500000000001</v>
      </c>
      <c r="AB200" s="130">
        <v>12.484</v>
      </c>
      <c r="AC200" s="127">
        <v>11.65</v>
      </c>
    </row>
    <row r="201" spans="1:29" x14ac:dyDescent="0.3">
      <c r="A201" s="134">
        <v>44665</v>
      </c>
      <c r="B201" s="134">
        <v>44743</v>
      </c>
      <c r="C201" s="135">
        <f>NETWORKDAYS(A201,B201-1,Feriados!$A$2:$A$2000)</f>
        <v>53</v>
      </c>
      <c r="D201" s="128">
        <v>12.547599999999999</v>
      </c>
      <c r="E201" s="137">
        <f t="shared" si="69"/>
        <v>3.1099999999998573E-2</v>
      </c>
      <c r="F201" s="138">
        <f t="shared" si="70"/>
        <v>975.44568600000002</v>
      </c>
      <c r="G201" s="137">
        <f t="shared" si="76"/>
        <v>97544.57</v>
      </c>
      <c r="H201" s="137">
        <f t="shared" si="77"/>
        <v>4.0992937769090965E-2</v>
      </c>
      <c r="I201" s="139">
        <f t="shared" si="78"/>
        <v>1.0407537247560481</v>
      </c>
      <c r="J201" s="134">
        <f t="shared" si="71"/>
        <v>44743</v>
      </c>
      <c r="K201" s="130">
        <v>12.513999999999999</v>
      </c>
      <c r="L201" s="137">
        <f t="shared" si="66"/>
        <v>2.9999999999999361E-2</v>
      </c>
      <c r="M201" s="137">
        <f t="shared" si="67"/>
        <v>97550.69</v>
      </c>
      <c r="N201" s="127">
        <v>11.65</v>
      </c>
      <c r="O201" s="140">
        <f t="shared" si="79"/>
        <v>-2.5899999999965075</v>
      </c>
      <c r="P201" s="137">
        <f t="shared" si="72"/>
        <v>97550.69</v>
      </c>
      <c r="Q201" s="137">
        <f t="shared" si="62"/>
        <v>4.1082700419425855E-2</v>
      </c>
      <c r="R201" s="139">
        <f t="shared" si="63"/>
        <v>1.0402317861021344</v>
      </c>
      <c r="S201" s="169">
        <f t="shared" si="68"/>
        <v>3.3599999999999852E-2</v>
      </c>
      <c r="T201" s="157">
        <f t="shared" si="73"/>
        <v>1.0999999999992127E-3</v>
      </c>
      <c r="U201" s="137">
        <f t="shared" si="74"/>
        <v>97544.57</v>
      </c>
      <c r="V201" s="137">
        <f t="shared" si="75"/>
        <v>97547.16</v>
      </c>
      <c r="W201" s="137">
        <f t="shared" si="64"/>
        <v>4.3649222703345814E-2</v>
      </c>
      <c r="X201" s="139">
        <f t="shared" si="65"/>
        <v>1.0605611843775433</v>
      </c>
      <c r="AA201" s="128">
        <v>12.547599999999999</v>
      </c>
      <c r="AB201" s="130">
        <v>12.513999999999999</v>
      </c>
      <c r="AC201" s="127">
        <v>11.65</v>
      </c>
    </row>
    <row r="202" spans="1:29" x14ac:dyDescent="0.3">
      <c r="A202" s="134">
        <v>44669</v>
      </c>
      <c r="B202" s="134">
        <v>44743</v>
      </c>
      <c r="C202" s="135">
        <f>NETWORKDAYS(A202,B202-1,Feriados!$A$2:$A$2000)</f>
        <v>52</v>
      </c>
      <c r="D202" s="128">
        <v>12.5557</v>
      </c>
      <c r="E202" s="137">
        <f t="shared" si="69"/>
        <v>8.1000000000006622E-3</v>
      </c>
      <c r="F202" s="138">
        <f t="shared" si="70"/>
        <v>975.88885500000004</v>
      </c>
      <c r="G202" s="137">
        <f t="shared" si="76"/>
        <v>97588.89</v>
      </c>
      <c r="H202" s="137">
        <f t="shared" si="77"/>
        <v>4.5435640343693962E-2</v>
      </c>
      <c r="I202" s="139">
        <f t="shared" si="78"/>
        <v>1.0412265978752919</v>
      </c>
      <c r="J202" s="134">
        <f t="shared" si="71"/>
        <v>44743</v>
      </c>
      <c r="K202" s="130">
        <v>12.522</v>
      </c>
      <c r="L202" s="137">
        <f t="shared" si="66"/>
        <v>8.0000000000008953E-3</v>
      </c>
      <c r="M202" s="137">
        <f t="shared" si="67"/>
        <v>97594.92</v>
      </c>
      <c r="N202" s="127">
        <v>11.65</v>
      </c>
      <c r="O202" s="140">
        <f t="shared" si="79"/>
        <v>1.5599999999976717</v>
      </c>
      <c r="P202" s="137">
        <f t="shared" si="72"/>
        <v>97594.92</v>
      </c>
      <c r="Q202" s="137">
        <f t="shared" si="62"/>
        <v>4.5340530138737734E-2</v>
      </c>
      <c r="R202" s="139">
        <f t="shared" si="63"/>
        <v>1.0407034327086249</v>
      </c>
      <c r="S202" s="169">
        <f t="shared" si="68"/>
        <v>3.3699999999999619E-2</v>
      </c>
      <c r="T202" s="157">
        <f t="shared" si="73"/>
        <v>9.9999999999766942E-5</v>
      </c>
      <c r="U202" s="137">
        <f t="shared" si="74"/>
        <v>97588.89</v>
      </c>
      <c r="V202" s="137">
        <f t="shared" si="75"/>
        <v>97587.33</v>
      </c>
      <c r="W202" s="137">
        <f t="shared" si="64"/>
        <v>4.3836371414629483E-2</v>
      </c>
      <c r="X202" s="139">
        <f t="shared" si="65"/>
        <v>1.0610260959174065</v>
      </c>
      <c r="AA202" s="128">
        <v>12.5557</v>
      </c>
      <c r="AB202" s="130">
        <v>12.522</v>
      </c>
      <c r="AC202" s="127">
        <v>11.65</v>
      </c>
    </row>
    <row r="203" spans="1:29" x14ac:dyDescent="0.3">
      <c r="A203" s="134">
        <v>44670</v>
      </c>
      <c r="B203" s="134">
        <v>44743</v>
      </c>
      <c r="C203" s="135">
        <f>NETWORKDAYS(A203,B203-1,Feriados!$A$2:$A$2000)</f>
        <v>51</v>
      </c>
      <c r="D203" s="128">
        <v>12.5746</v>
      </c>
      <c r="E203" s="137">
        <f t="shared" si="69"/>
        <v>1.8900000000000361E-2</v>
      </c>
      <c r="F203" s="138">
        <f t="shared" si="70"/>
        <v>976.31382699999995</v>
      </c>
      <c r="G203" s="137">
        <f t="shared" si="76"/>
        <v>97631.38</v>
      </c>
      <c r="H203" s="137">
        <f t="shared" si="77"/>
        <v>4.3539792285796075E-2</v>
      </c>
      <c r="I203" s="139">
        <f t="shared" si="78"/>
        <v>1.0416799457732313</v>
      </c>
      <c r="J203" s="134">
        <f t="shared" si="71"/>
        <v>44743</v>
      </c>
      <c r="K203" s="130">
        <v>12.54</v>
      </c>
      <c r="L203" s="137">
        <f t="shared" si="66"/>
        <v>1.7999999999998906E-2</v>
      </c>
      <c r="M203" s="137">
        <f t="shared" si="67"/>
        <v>97637.46</v>
      </c>
      <c r="N203" s="127">
        <v>11.65</v>
      </c>
      <c r="O203" s="140">
        <f t="shared" si="79"/>
        <v>-0.14999999999417923</v>
      </c>
      <c r="P203" s="137">
        <f t="shared" si="72"/>
        <v>97637.46</v>
      </c>
      <c r="Q203" s="137">
        <f t="shared" si="62"/>
        <v>4.3588334310862287E-2</v>
      </c>
      <c r="R203" s="139">
        <f t="shared" si="63"/>
        <v>1.0411570580000584</v>
      </c>
      <c r="S203" s="169">
        <f t="shared" si="68"/>
        <v>3.4600000000001074E-2</v>
      </c>
      <c r="T203" s="157">
        <f t="shared" si="73"/>
        <v>9.0000000000145519E-4</v>
      </c>
      <c r="U203" s="137">
        <f t="shared" si="74"/>
        <v>97631.38</v>
      </c>
      <c r="V203" s="137">
        <f t="shared" si="75"/>
        <v>97631.53</v>
      </c>
      <c r="W203" s="137">
        <f t="shared" si="64"/>
        <v>4.3693498307040279E-2</v>
      </c>
      <c r="X203" s="139">
        <f t="shared" si="65"/>
        <v>1.0614896953366635</v>
      </c>
      <c r="AA203" s="128">
        <v>12.5746</v>
      </c>
      <c r="AB203" s="130">
        <v>12.54</v>
      </c>
      <c r="AC203" s="127">
        <v>11.65</v>
      </c>
    </row>
    <row r="204" spans="1:29" x14ac:dyDescent="0.3">
      <c r="A204" s="134">
        <v>44671</v>
      </c>
      <c r="B204" s="134">
        <v>44743</v>
      </c>
      <c r="C204" s="135">
        <f>NETWORKDAYS(A204,B204-1,Feriados!$A$2:$A$2000)</f>
        <v>50</v>
      </c>
      <c r="D204" s="128">
        <v>12.598599999999999</v>
      </c>
      <c r="E204" s="137">
        <f t="shared" si="69"/>
        <v>2.3999999999999133E-2</v>
      </c>
      <c r="F204" s="138">
        <f t="shared" si="70"/>
        <v>976.73151299999995</v>
      </c>
      <c r="G204" s="137">
        <f t="shared" si="76"/>
        <v>97673.15</v>
      </c>
      <c r="H204" s="137">
        <f t="shared" si="77"/>
        <v>4.2783375590915718E-2</v>
      </c>
      <c r="I204" s="139">
        <f t="shared" si="78"/>
        <v>1.0421256116168867</v>
      </c>
      <c r="J204" s="134">
        <f t="shared" si="71"/>
        <v>44743</v>
      </c>
      <c r="K204" s="130">
        <v>12.564</v>
      </c>
      <c r="L204" s="137">
        <f t="shared" si="66"/>
        <v>2.4000000000000909E-2</v>
      </c>
      <c r="M204" s="137">
        <f t="shared" si="67"/>
        <v>97679.11</v>
      </c>
      <c r="N204" s="127">
        <v>11.65</v>
      </c>
      <c r="O204" s="140">
        <f t="shared" si="79"/>
        <v>-1.0599999999976717</v>
      </c>
      <c r="P204" s="137">
        <f t="shared" si="72"/>
        <v>97679.11</v>
      </c>
      <c r="Q204" s="137">
        <f t="shared" ref="Q204:Q254" si="80">+(P204/P203-1)*100</f>
        <v>4.2657807771728784E-2</v>
      </c>
      <c r="R204" s="139">
        <f t="shared" ref="R204:R254" si="81">+R203*(1+Q204/100)</f>
        <v>1.0416011927764619</v>
      </c>
      <c r="S204" s="169">
        <f t="shared" si="68"/>
        <v>3.4599999999999298E-2</v>
      </c>
      <c r="T204" s="157">
        <f t="shared" si="73"/>
        <v>-1.7763568394002505E-15</v>
      </c>
      <c r="U204" s="137">
        <f t="shared" si="74"/>
        <v>97673.15</v>
      </c>
      <c r="V204" s="137">
        <f t="shared" si="75"/>
        <v>97674.209999999992</v>
      </c>
      <c r="W204" s="137">
        <f t="shared" ref="W204:W254" si="82">+(V204/U203-1)*100</f>
        <v>4.3869092089021677E-2</v>
      </c>
      <c r="X204" s="139">
        <f t="shared" ref="X204:X254" si="83">+X203*(1+W204/100)</f>
        <v>1.0619553612286261</v>
      </c>
      <c r="AA204" s="128">
        <v>12.598599999999999</v>
      </c>
      <c r="AB204" s="130">
        <v>12.564</v>
      </c>
      <c r="AC204" s="127">
        <v>11.65</v>
      </c>
    </row>
    <row r="205" spans="1:29" x14ac:dyDescent="0.3">
      <c r="A205" s="134">
        <v>44673</v>
      </c>
      <c r="B205" s="134">
        <v>44743</v>
      </c>
      <c r="C205" s="135">
        <f>NETWORKDAYS(A205,B205-1,Feriados!$A$2:$A$2000)</f>
        <v>49</v>
      </c>
      <c r="D205" s="128">
        <v>12.5814</v>
      </c>
      <c r="E205" s="137">
        <f t="shared" si="69"/>
        <v>-1.7199999999998994E-2</v>
      </c>
      <c r="F205" s="138">
        <f t="shared" si="70"/>
        <v>977.22056199999997</v>
      </c>
      <c r="G205" s="137">
        <f t="shared" si="76"/>
        <v>97722.06</v>
      </c>
      <c r="H205" s="137">
        <f t="shared" si="77"/>
        <v>5.0075174190666871E-2</v>
      </c>
      <c r="I205" s="139">
        <f t="shared" si="78"/>
        <v>1.0426474578321894</v>
      </c>
      <c r="J205" s="134">
        <f t="shared" si="71"/>
        <v>44743</v>
      </c>
      <c r="K205" s="130">
        <v>12.548</v>
      </c>
      <c r="L205" s="137">
        <f t="shared" si="66"/>
        <v>-1.6000000000000014E-2</v>
      </c>
      <c r="M205" s="137">
        <f t="shared" si="67"/>
        <v>97727.69</v>
      </c>
      <c r="N205" s="127">
        <v>11.65</v>
      </c>
      <c r="O205" s="140">
        <f t="shared" si="79"/>
        <v>5.8600000000005821</v>
      </c>
      <c r="P205" s="137">
        <f t="shared" si="72"/>
        <v>97727.69</v>
      </c>
      <c r="Q205" s="137">
        <f t="shared" si="80"/>
        <v>4.9734277881929856E-2</v>
      </c>
      <c r="R205" s="139">
        <f t="shared" si="81"/>
        <v>1.0421192256080989</v>
      </c>
      <c r="S205" s="169">
        <f t="shared" si="68"/>
        <v>3.3400000000000318E-2</v>
      </c>
      <c r="T205" s="157">
        <f t="shared" si="73"/>
        <v>-1.1999999999989797E-3</v>
      </c>
      <c r="U205" s="137">
        <f t="shared" si="74"/>
        <v>97722.06</v>
      </c>
      <c r="V205" s="137">
        <f t="shared" si="75"/>
        <v>97716.2</v>
      </c>
      <c r="W205" s="137">
        <f t="shared" si="82"/>
        <v>4.4075572457735746E-2</v>
      </c>
      <c r="X205" s="139">
        <f t="shared" si="83"/>
        <v>1.0624234241333332</v>
      </c>
      <c r="AA205" s="128">
        <v>12.5814</v>
      </c>
      <c r="AB205" s="130">
        <v>12.548</v>
      </c>
      <c r="AC205" s="127">
        <v>11.65</v>
      </c>
    </row>
    <row r="206" spans="1:29" x14ac:dyDescent="0.3">
      <c r="A206" s="134">
        <v>44676</v>
      </c>
      <c r="B206" s="134">
        <v>44743</v>
      </c>
      <c r="C206" s="135">
        <f>NETWORKDAYS(A206,B206-1,Feriados!$A$2:$A$2000)</f>
        <v>48</v>
      </c>
      <c r="D206" s="128">
        <v>12.5764</v>
      </c>
      <c r="E206" s="137">
        <f t="shared" si="69"/>
        <v>-5.0000000000007816E-3</v>
      </c>
      <c r="F206" s="138">
        <f t="shared" si="70"/>
        <v>977.688492</v>
      </c>
      <c r="G206" s="137">
        <f t="shared" si="76"/>
        <v>97768.85</v>
      </c>
      <c r="H206" s="137">
        <f t="shared" si="77"/>
        <v>4.7880693468815849E-2</v>
      </c>
      <c r="I206" s="139">
        <f t="shared" si="78"/>
        <v>1.0431466846654345</v>
      </c>
      <c r="J206" s="134">
        <f t="shared" si="71"/>
        <v>44743</v>
      </c>
      <c r="K206" s="130">
        <v>12.544</v>
      </c>
      <c r="L206" s="137">
        <f t="shared" si="66"/>
        <v>-3.9999999999995595E-3</v>
      </c>
      <c r="M206" s="137">
        <f t="shared" si="67"/>
        <v>97774.21</v>
      </c>
      <c r="N206" s="127">
        <v>11.65</v>
      </c>
      <c r="O206" s="140">
        <f t="shared" si="79"/>
        <v>3.7700000000040745</v>
      </c>
      <c r="P206" s="137">
        <f t="shared" si="72"/>
        <v>97774.21</v>
      </c>
      <c r="Q206" s="137">
        <f t="shared" si="80"/>
        <v>4.7601657217111182E-2</v>
      </c>
      <c r="R206" s="139">
        <f t="shared" si="81"/>
        <v>1.0426152916296665</v>
      </c>
      <c r="S206" s="169">
        <f t="shared" si="68"/>
        <v>3.2399999999999096E-2</v>
      </c>
      <c r="T206" s="157">
        <f t="shared" si="73"/>
        <v>-1.0000000000012221E-3</v>
      </c>
      <c r="U206" s="137">
        <f t="shared" si="74"/>
        <v>97768.85</v>
      </c>
      <c r="V206" s="137">
        <f t="shared" si="75"/>
        <v>97765.08</v>
      </c>
      <c r="W206" s="137">
        <f t="shared" si="82"/>
        <v>4.4022813272670547E-2</v>
      </c>
      <c r="X206" s="139">
        <f t="shared" si="83"/>
        <v>1.0628911328135047</v>
      </c>
      <c r="AA206" s="128">
        <v>12.5764</v>
      </c>
      <c r="AB206" s="130">
        <v>12.544</v>
      </c>
      <c r="AC206" s="127">
        <v>11.65</v>
      </c>
    </row>
    <row r="207" spans="1:29" x14ac:dyDescent="0.3">
      <c r="A207" s="134">
        <v>44677</v>
      </c>
      <c r="B207" s="134">
        <v>44743</v>
      </c>
      <c r="C207" s="135">
        <f>NETWORKDAYS(A207,B207-1,Feriados!$A$2:$A$2000)</f>
        <v>47</v>
      </c>
      <c r="D207" s="128">
        <v>12.606299999999999</v>
      </c>
      <c r="E207" s="137">
        <f t="shared" si="69"/>
        <v>2.9899999999999594E-2</v>
      </c>
      <c r="F207" s="138">
        <f t="shared" si="70"/>
        <v>978.09975299999996</v>
      </c>
      <c r="G207" s="137">
        <f t="shared" si="76"/>
        <v>97809.98</v>
      </c>
      <c r="H207" s="137">
        <f t="shared" si="77"/>
        <v>4.2068613878543104E-2</v>
      </c>
      <c r="I207" s="139">
        <f t="shared" si="78"/>
        <v>1.0435855220163932</v>
      </c>
      <c r="J207" s="134">
        <f t="shared" si="71"/>
        <v>44743</v>
      </c>
      <c r="K207" s="130">
        <v>12.574</v>
      </c>
      <c r="L207" s="137">
        <f t="shared" si="66"/>
        <v>2.9999999999999361E-2</v>
      </c>
      <c r="M207" s="137">
        <f t="shared" si="67"/>
        <v>97815.21</v>
      </c>
      <c r="N207" s="127">
        <v>11.65</v>
      </c>
      <c r="O207" s="140">
        <f t="shared" si="79"/>
        <v>-1.7699999999895226</v>
      </c>
      <c r="P207" s="137">
        <f t="shared" si="72"/>
        <v>97815.21</v>
      </c>
      <c r="Q207" s="137">
        <f t="shared" si="80"/>
        <v>4.1933348272515936E-2</v>
      </c>
      <c r="R207" s="139">
        <f t="shared" si="81"/>
        <v>1.043052495131048</v>
      </c>
      <c r="S207" s="169">
        <f t="shared" si="68"/>
        <v>3.2299999999999329E-2</v>
      </c>
      <c r="T207" s="157">
        <f t="shared" si="73"/>
        <v>-9.9999999999766942E-5</v>
      </c>
      <c r="U207" s="137">
        <f t="shared" si="74"/>
        <v>97809.98</v>
      </c>
      <c r="V207" s="137">
        <f t="shared" si="75"/>
        <v>97811.749999999985</v>
      </c>
      <c r="W207" s="137">
        <f t="shared" si="82"/>
        <v>4.3879006452440805E-2</v>
      </c>
      <c r="X207" s="139">
        <f t="shared" si="83"/>
        <v>1.0633575188822544</v>
      </c>
      <c r="AA207" s="128">
        <v>12.606299999999999</v>
      </c>
      <c r="AB207" s="130">
        <v>12.574</v>
      </c>
      <c r="AC207" s="127">
        <v>11.65</v>
      </c>
    </row>
    <row r="208" spans="1:29" x14ac:dyDescent="0.3">
      <c r="A208" s="134">
        <v>44678</v>
      </c>
      <c r="B208" s="134">
        <v>44743</v>
      </c>
      <c r="C208" s="135">
        <f>NETWORKDAYS(A208,B208-1,Feriados!$A$2:$A$2000)</f>
        <v>46</v>
      </c>
      <c r="D208" s="128">
        <v>12.6427</v>
      </c>
      <c r="E208" s="137">
        <f t="shared" si="69"/>
        <v>3.6400000000000432E-2</v>
      </c>
      <c r="F208" s="138">
        <f t="shared" si="70"/>
        <v>978.50295400000005</v>
      </c>
      <c r="G208" s="137">
        <f t="shared" si="76"/>
        <v>97850.3</v>
      </c>
      <c r="H208" s="137">
        <f t="shared" si="77"/>
        <v>4.1222787286132601E-2</v>
      </c>
      <c r="I208" s="139">
        <f t="shared" si="78"/>
        <v>1.0440157170562829</v>
      </c>
      <c r="J208" s="134">
        <f t="shared" si="71"/>
        <v>44743</v>
      </c>
      <c r="K208" s="130">
        <v>12.61</v>
      </c>
      <c r="L208" s="137">
        <f t="shared" si="66"/>
        <v>3.5999999999999588E-2</v>
      </c>
      <c r="M208" s="137">
        <f t="shared" si="67"/>
        <v>97855.48</v>
      </c>
      <c r="N208" s="127">
        <v>11.65</v>
      </c>
      <c r="O208" s="140">
        <f t="shared" si="79"/>
        <v>-2.5100000000093132</v>
      </c>
      <c r="P208" s="137">
        <f t="shared" si="72"/>
        <v>97855.48</v>
      </c>
      <c r="Q208" s="137">
        <f t="shared" si="80"/>
        <v>4.1169466384616271E-2</v>
      </c>
      <c r="R208" s="139">
        <f t="shared" si="81"/>
        <v>1.043481914277405</v>
      </c>
      <c r="S208" s="169">
        <f t="shared" si="68"/>
        <v>3.2700000000000173E-2</v>
      </c>
      <c r="T208" s="157">
        <f t="shared" si="73"/>
        <v>4.0000000000084412E-4</v>
      </c>
      <c r="U208" s="137">
        <f t="shared" si="74"/>
        <v>97850.3</v>
      </c>
      <c r="V208" s="137">
        <f t="shared" si="75"/>
        <v>97852.810000000012</v>
      </c>
      <c r="W208" s="137">
        <f t="shared" si="82"/>
        <v>4.3788987585946515E-2</v>
      </c>
      <c r="X208" s="139">
        <f t="shared" si="83"/>
        <v>1.0638231523741919</v>
      </c>
      <c r="AA208" s="128">
        <v>12.6427</v>
      </c>
      <c r="AB208" s="130">
        <v>12.61</v>
      </c>
      <c r="AC208" s="127">
        <v>11.65</v>
      </c>
    </row>
    <row r="209" spans="1:29" x14ac:dyDescent="0.3">
      <c r="A209" s="134">
        <v>44679</v>
      </c>
      <c r="B209" s="134">
        <v>44743</v>
      </c>
      <c r="C209" s="135">
        <f>NETWORKDAYS(A209,B209-1,Feriados!$A$2:$A$2000)</f>
        <v>45</v>
      </c>
      <c r="D209" s="128">
        <v>12.6752</v>
      </c>
      <c r="E209" s="137">
        <f t="shared" si="69"/>
        <v>3.2500000000000639E-2</v>
      </c>
      <c r="F209" s="138">
        <f t="shared" si="70"/>
        <v>978.91490099999999</v>
      </c>
      <c r="G209" s="137">
        <f t="shared" si="76"/>
        <v>97891.49</v>
      </c>
      <c r="H209" s="137">
        <f t="shared" si="77"/>
        <v>4.2094914374302128E-2</v>
      </c>
      <c r="I209" s="139">
        <f t="shared" si="78"/>
        <v>1.0444551945784319</v>
      </c>
      <c r="J209" s="134">
        <f t="shared" si="71"/>
        <v>44743</v>
      </c>
      <c r="K209" s="130">
        <v>12.638</v>
      </c>
      <c r="L209" s="137">
        <f t="shared" si="66"/>
        <v>2.8000000000000469E-2</v>
      </c>
      <c r="M209" s="137">
        <f t="shared" si="67"/>
        <v>97897.26</v>
      </c>
      <c r="N209" s="127">
        <v>11.65</v>
      </c>
      <c r="O209" s="140">
        <f t="shared" si="79"/>
        <v>-1.0200000000040745</v>
      </c>
      <c r="P209" s="137">
        <f t="shared" si="72"/>
        <v>97897.26</v>
      </c>
      <c r="Q209" s="137">
        <f t="shared" si="80"/>
        <v>4.2695616024768235E-2</v>
      </c>
      <c r="R209" s="139">
        <f t="shared" si="81"/>
        <v>1.0439274353088128</v>
      </c>
      <c r="S209" s="169">
        <f t="shared" si="68"/>
        <v>3.7200000000000344E-2</v>
      </c>
      <c r="T209" s="157">
        <f t="shared" si="73"/>
        <v>4.5000000000001705E-3</v>
      </c>
      <c r="U209" s="137">
        <f t="shared" si="74"/>
        <v>97891.49</v>
      </c>
      <c r="V209" s="137">
        <f t="shared" si="75"/>
        <v>97892.510000000009</v>
      </c>
      <c r="W209" s="137">
        <f t="shared" si="82"/>
        <v>4.3137323033248798E-2</v>
      </c>
      <c r="X209" s="139">
        <f t="shared" si="83"/>
        <v>1.064282057203934</v>
      </c>
      <c r="AA209" s="128">
        <v>12.6752</v>
      </c>
      <c r="AB209" s="130">
        <v>12.638</v>
      </c>
      <c r="AC209" s="127">
        <v>11.65</v>
      </c>
    </row>
    <row r="210" spans="1:29" x14ac:dyDescent="0.3">
      <c r="A210" s="134">
        <v>44680</v>
      </c>
      <c r="B210" s="134">
        <v>44743</v>
      </c>
      <c r="C210" s="135">
        <f>NETWORKDAYS(A210,B210-1,Feriados!$A$2:$A$2000)</f>
        <v>44</v>
      </c>
      <c r="D210" s="128">
        <v>12.702500000000001</v>
      </c>
      <c r="E210" s="137">
        <f t="shared" si="69"/>
        <v>2.7300000000000324E-2</v>
      </c>
      <c r="F210" s="138">
        <f t="shared" si="70"/>
        <v>979.33716800000002</v>
      </c>
      <c r="G210" s="137">
        <f t="shared" si="76"/>
        <v>97933.72</v>
      </c>
      <c r="H210" s="137">
        <f t="shared" si="77"/>
        <v>4.3139602839836755E-2</v>
      </c>
      <c r="I210" s="139">
        <f t="shared" si="78"/>
        <v>1.0449057684012131</v>
      </c>
      <c r="J210" s="134">
        <f t="shared" si="71"/>
        <v>44743</v>
      </c>
      <c r="K210" s="130">
        <v>12.66</v>
      </c>
      <c r="L210" s="137">
        <f t="shared" si="66"/>
        <v>2.2000000000000242E-2</v>
      </c>
      <c r="M210" s="137">
        <f t="shared" si="67"/>
        <v>97940.17</v>
      </c>
      <c r="N210" s="127">
        <v>11.65</v>
      </c>
      <c r="O210" s="140">
        <f t="shared" si="79"/>
        <v>8.999999999650754E-2</v>
      </c>
      <c r="P210" s="137">
        <f t="shared" si="72"/>
        <v>97940.17</v>
      </c>
      <c r="Q210" s="137">
        <f t="shared" si="80"/>
        <v>4.3831665973081968E-2</v>
      </c>
      <c r="R210" s="139">
        <f t="shared" si="81"/>
        <v>1.0443850060952586</v>
      </c>
      <c r="S210" s="169">
        <f t="shared" si="68"/>
        <v>4.2500000000000426E-2</v>
      </c>
      <c r="T210" s="157">
        <f t="shared" si="73"/>
        <v>5.3000000000000824E-3</v>
      </c>
      <c r="U210" s="137">
        <f t="shared" si="74"/>
        <v>97933.72</v>
      </c>
      <c r="V210" s="137">
        <f t="shared" si="75"/>
        <v>97933.63</v>
      </c>
      <c r="W210" s="137">
        <f t="shared" si="82"/>
        <v>4.3047664306672395E-2</v>
      </c>
      <c r="X210" s="139">
        <f t="shared" si="83"/>
        <v>1.0647402057711952</v>
      </c>
      <c r="AA210" s="128">
        <v>12.702500000000001</v>
      </c>
      <c r="AB210" s="130">
        <v>12.66</v>
      </c>
      <c r="AC210" s="127">
        <v>11.65</v>
      </c>
    </row>
    <row r="211" spans="1:29" x14ac:dyDescent="0.3">
      <c r="A211" s="134">
        <v>44683</v>
      </c>
      <c r="B211" s="134">
        <v>44743</v>
      </c>
      <c r="C211" s="135">
        <f>NETWORKDAYS(A211,B211-1,Feriados!$A$2:$A$2000)</f>
        <v>43</v>
      </c>
      <c r="D211" s="128">
        <v>12.75</v>
      </c>
      <c r="E211" s="137">
        <f t="shared" si="69"/>
        <v>4.7499999999999432E-2</v>
      </c>
      <c r="F211" s="138">
        <f t="shared" si="70"/>
        <v>979.73155599999996</v>
      </c>
      <c r="G211" s="137">
        <f t="shared" si="76"/>
        <v>97973.16</v>
      </c>
      <c r="H211" s="137">
        <f t="shared" si="77"/>
        <v>4.0272135072583204E-2</v>
      </c>
      <c r="I211" s="139">
        <f t="shared" si="78"/>
        <v>1.0453265742636448</v>
      </c>
      <c r="J211" s="134">
        <f t="shared" si="71"/>
        <v>44743</v>
      </c>
      <c r="K211" s="130">
        <v>12.7</v>
      </c>
      <c r="L211" s="137">
        <f t="shared" si="66"/>
        <v>3.9999999999999147E-2</v>
      </c>
      <c r="M211" s="137">
        <f t="shared" si="67"/>
        <v>97980.57</v>
      </c>
      <c r="N211" s="127">
        <v>11.65</v>
      </c>
      <c r="O211" s="140">
        <f t="shared" si="79"/>
        <v>-2.4399999999877764</v>
      </c>
      <c r="P211" s="137">
        <f t="shared" si="72"/>
        <v>97980.57</v>
      </c>
      <c r="Q211" s="137">
        <f t="shared" si="80"/>
        <v>4.1249673142296217E-2</v>
      </c>
      <c r="R211" s="139">
        <f t="shared" si="81"/>
        <v>1.0448158114966202</v>
      </c>
      <c r="S211" s="169">
        <f t="shared" si="68"/>
        <v>5.0000000000000711E-2</v>
      </c>
      <c r="T211" s="157">
        <f t="shared" si="73"/>
        <v>7.5000000000002842E-3</v>
      </c>
      <c r="U211" s="137">
        <f t="shared" si="74"/>
        <v>97973.16</v>
      </c>
      <c r="V211" s="137">
        <f t="shared" si="75"/>
        <v>97975.599999999991</v>
      </c>
      <c r="W211" s="137">
        <f t="shared" si="82"/>
        <v>4.276361604562684E-2</v>
      </c>
      <c r="X211" s="139">
        <f t="shared" si="83"/>
        <v>1.0651955271846747</v>
      </c>
      <c r="AA211" s="128">
        <v>12.75</v>
      </c>
      <c r="AB211" s="130">
        <v>12.7</v>
      </c>
      <c r="AC211" s="127">
        <v>11.65</v>
      </c>
    </row>
    <row r="212" spans="1:29" x14ac:dyDescent="0.3">
      <c r="A212" s="134">
        <v>44684</v>
      </c>
      <c r="B212" s="134">
        <v>44743</v>
      </c>
      <c r="C212" s="135">
        <f>NETWORKDAYS(A212,B212-1,Feriados!$A$2:$A$2000)</f>
        <v>42</v>
      </c>
      <c r="D212" s="128">
        <v>12.783799999999999</v>
      </c>
      <c r="E212" s="137">
        <f t="shared" si="69"/>
        <v>3.3799999999999386E-2</v>
      </c>
      <c r="F212" s="138">
        <f t="shared" si="70"/>
        <v>980.14925100000005</v>
      </c>
      <c r="G212" s="137">
        <f t="shared" si="76"/>
        <v>98014.93</v>
      </c>
      <c r="H212" s="137">
        <f t="shared" si="77"/>
        <v>4.2634125509466436E-2</v>
      </c>
      <c r="I212" s="139">
        <f t="shared" si="78"/>
        <v>1.0457722401073002</v>
      </c>
      <c r="J212" s="134">
        <f t="shared" si="71"/>
        <v>44743</v>
      </c>
      <c r="K212" s="130">
        <v>12.734</v>
      </c>
      <c r="L212" s="137">
        <f t="shared" si="66"/>
        <v>3.4000000000000696E-2</v>
      </c>
      <c r="M212" s="137">
        <f t="shared" si="67"/>
        <v>98022.14</v>
      </c>
      <c r="N212" s="127">
        <v>11.65</v>
      </c>
      <c r="O212" s="140">
        <f t="shared" si="79"/>
        <v>-1.2899999999935972</v>
      </c>
      <c r="P212" s="137">
        <f t="shared" si="72"/>
        <v>98022.14</v>
      </c>
      <c r="Q212" s="137">
        <f t="shared" si="80"/>
        <v>4.2426779105286805E-2</v>
      </c>
      <c r="R212" s="139">
        <f t="shared" si="81"/>
        <v>1.045259093193021</v>
      </c>
      <c r="S212" s="169">
        <f t="shared" si="68"/>
        <v>4.97999999999994E-2</v>
      </c>
      <c r="T212" s="157">
        <f t="shared" si="73"/>
        <v>-2.0000000000131024E-4</v>
      </c>
      <c r="U212" s="137">
        <f t="shared" si="74"/>
        <v>98014.93</v>
      </c>
      <c r="V212" s="137">
        <f t="shared" si="75"/>
        <v>98016.219999999987</v>
      </c>
      <c r="W212" s="137">
        <f t="shared" si="82"/>
        <v>4.3950812651116777E-2</v>
      </c>
      <c r="X212" s="139">
        <f t="shared" si="83"/>
        <v>1.0656636892751956</v>
      </c>
      <c r="AA212" s="128">
        <v>12.783799999999999</v>
      </c>
      <c r="AB212" s="130">
        <v>12.734</v>
      </c>
      <c r="AC212" s="127">
        <v>11.65</v>
      </c>
    </row>
    <row r="213" spans="1:29" x14ac:dyDescent="0.3">
      <c r="A213" s="134">
        <v>44685</v>
      </c>
      <c r="B213" s="134">
        <v>44743</v>
      </c>
      <c r="C213" s="135">
        <f>NETWORKDAYS(A213,B213-1,Feriados!$A$2:$A$2000)</f>
        <v>41</v>
      </c>
      <c r="D213" s="128">
        <v>12.770300000000001</v>
      </c>
      <c r="E213" s="137">
        <f t="shared" si="69"/>
        <v>-1.3499999999998735E-2</v>
      </c>
      <c r="F213" s="138">
        <f t="shared" si="70"/>
        <v>980.63637600000004</v>
      </c>
      <c r="G213" s="137">
        <f t="shared" si="76"/>
        <v>98063.64</v>
      </c>
      <c r="H213" s="137">
        <f t="shared" si="77"/>
        <v>4.9696510521424209E-2</v>
      </c>
      <c r="I213" s="139">
        <f t="shared" si="78"/>
        <v>1.0462919524186352</v>
      </c>
      <c r="J213" s="134">
        <f t="shared" si="71"/>
        <v>44743</v>
      </c>
      <c r="K213" s="130">
        <v>12.718</v>
      </c>
      <c r="L213" s="137">
        <f t="shared" si="66"/>
        <v>-1.6000000000000014E-2</v>
      </c>
      <c r="M213" s="137">
        <f t="shared" si="67"/>
        <v>98071.039999999994</v>
      </c>
      <c r="N213" s="127">
        <v>11.65</v>
      </c>
      <c r="O213" s="140">
        <f t="shared" si="79"/>
        <v>6.0299999999988358</v>
      </c>
      <c r="P213" s="137">
        <f t="shared" si="72"/>
        <v>98071.039999999994</v>
      </c>
      <c r="Q213" s="137">
        <f t="shared" si="80"/>
        <v>4.9886688864364537E-2</v>
      </c>
      <c r="R213" s="139">
        <f t="shared" si="81"/>
        <v>1.0457805383446688</v>
      </c>
      <c r="S213" s="169">
        <f t="shared" si="68"/>
        <v>5.2300000000000679E-2</v>
      </c>
      <c r="T213" s="157">
        <f t="shared" si="73"/>
        <v>2.500000000001279E-3</v>
      </c>
      <c r="U213" s="137">
        <f t="shared" si="74"/>
        <v>98063.64</v>
      </c>
      <c r="V213" s="137">
        <f t="shared" si="75"/>
        <v>98057.61</v>
      </c>
      <c r="W213" s="137">
        <f t="shared" si="82"/>
        <v>4.3544386554184022E-2</v>
      </c>
      <c r="X213" s="139">
        <f t="shared" si="83"/>
        <v>1.0661277259914212</v>
      </c>
      <c r="AA213" s="128">
        <v>12.770300000000001</v>
      </c>
      <c r="AB213" s="130">
        <v>12.718</v>
      </c>
      <c r="AC213" s="127">
        <v>11.65</v>
      </c>
    </row>
    <row r="214" spans="1:29" x14ac:dyDescent="0.3">
      <c r="A214" s="134">
        <v>44686</v>
      </c>
      <c r="B214" s="134">
        <v>44743</v>
      </c>
      <c r="C214" s="135">
        <f>NETWORKDAYS(A214,B214-1,Feriados!$A$2:$A$2000)</f>
        <v>40</v>
      </c>
      <c r="D214" s="128">
        <v>12.832000000000001</v>
      </c>
      <c r="E214" s="137">
        <f t="shared" si="69"/>
        <v>6.1700000000000088E-2</v>
      </c>
      <c r="F214" s="138">
        <f t="shared" si="70"/>
        <v>981.01899100000003</v>
      </c>
      <c r="G214" s="137">
        <f t="shared" si="76"/>
        <v>98101.9</v>
      </c>
      <c r="H214" s="137">
        <f t="shared" si="77"/>
        <v>3.9015480151460835E-2</v>
      </c>
      <c r="I214" s="139">
        <f t="shared" si="78"/>
        <v>1.0467001682476573</v>
      </c>
      <c r="J214" s="134">
        <f t="shared" si="71"/>
        <v>44743</v>
      </c>
      <c r="K214" s="130">
        <v>12.782</v>
      </c>
      <c r="L214" s="137">
        <f t="shared" si="66"/>
        <v>6.4000000000000057E-2</v>
      </c>
      <c r="M214" s="137">
        <f t="shared" si="67"/>
        <v>98108.800000000003</v>
      </c>
      <c r="N214" s="127">
        <v>11.65</v>
      </c>
      <c r="O214" s="140">
        <f t="shared" si="79"/>
        <v>-5.1399999999994179</v>
      </c>
      <c r="P214" s="137">
        <f t="shared" si="72"/>
        <v>98108.800000000003</v>
      </c>
      <c r="Q214" s="137">
        <f t="shared" si="80"/>
        <v>3.8502701715015242E-2</v>
      </c>
      <c r="R214" s="139">
        <f t="shared" si="81"/>
        <v>1.0461831921059412</v>
      </c>
      <c r="S214" s="169">
        <f t="shared" si="68"/>
        <v>5.0000000000000711E-2</v>
      </c>
      <c r="T214" s="157">
        <f t="shared" si="73"/>
        <v>-2.2999999999999687E-3</v>
      </c>
      <c r="U214" s="137">
        <f t="shared" si="74"/>
        <v>98101.9</v>
      </c>
      <c r="V214" s="137">
        <f t="shared" si="75"/>
        <v>98107.04</v>
      </c>
      <c r="W214" s="137">
        <f t="shared" si="82"/>
        <v>4.4256974348488853E-2</v>
      </c>
      <c r="X214" s="139">
        <f t="shared" si="83"/>
        <v>1.0665995618656354</v>
      </c>
      <c r="AA214" s="128">
        <v>12.832000000000001</v>
      </c>
      <c r="AB214" s="130">
        <v>12.782</v>
      </c>
      <c r="AC214" s="127">
        <v>11.65</v>
      </c>
    </row>
    <row r="215" spans="1:29" x14ac:dyDescent="0.3">
      <c r="A215" s="134">
        <v>44687</v>
      </c>
      <c r="B215" s="134">
        <v>44743</v>
      </c>
      <c r="C215" s="135">
        <f>NETWORKDAYS(A215,B215-1,Feriados!$A$2:$A$2000)</f>
        <v>39</v>
      </c>
      <c r="D215" s="128">
        <v>12.855</v>
      </c>
      <c r="E215" s="137">
        <f t="shared" si="69"/>
        <v>2.2999999999999687E-2</v>
      </c>
      <c r="F215" s="138">
        <f t="shared" si="70"/>
        <v>981.45813699999997</v>
      </c>
      <c r="G215" s="137">
        <f t="shared" si="76"/>
        <v>98145.81</v>
      </c>
      <c r="H215" s="137">
        <f t="shared" si="77"/>
        <v>4.4759581618714073E-2</v>
      </c>
      <c r="I215" s="139">
        <f t="shared" si="78"/>
        <v>1.0471686668637674</v>
      </c>
      <c r="J215" s="134">
        <f t="shared" si="71"/>
        <v>44743</v>
      </c>
      <c r="K215" s="130">
        <v>12.798</v>
      </c>
      <c r="L215" s="137">
        <f t="shared" si="66"/>
        <v>1.6000000000000014E-2</v>
      </c>
      <c r="M215" s="137">
        <f t="shared" si="67"/>
        <v>98153.49</v>
      </c>
      <c r="N215" s="127">
        <v>12.65</v>
      </c>
      <c r="O215" s="140">
        <f t="shared" si="79"/>
        <v>1.7799999999988358</v>
      </c>
      <c r="P215" s="137">
        <f t="shared" si="72"/>
        <v>98153.49</v>
      </c>
      <c r="Q215" s="137">
        <f t="shared" si="80"/>
        <v>4.5551469389093491E-2</v>
      </c>
      <c r="R215" s="139">
        <f t="shared" si="81"/>
        <v>1.0466597439224472</v>
      </c>
      <c r="S215" s="169">
        <f t="shared" si="68"/>
        <v>5.7000000000000384E-2</v>
      </c>
      <c r="T215" s="157">
        <f t="shared" si="73"/>
        <v>6.9999999999996732E-3</v>
      </c>
      <c r="U215" s="137">
        <f t="shared" si="74"/>
        <v>98145.81</v>
      </c>
      <c r="V215" s="137">
        <f t="shared" si="75"/>
        <v>98144.03</v>
      </c>
      <c r="W215" s="137">
        <f t="shared" si="82"/>
        <v>4.2945141735284409E-2</v>
      </c>
      <c r="X215" s="139">
        <f t="shared" si="83"/>
        <v>1.0670576145592265</v>
      </c>
      <c r="AA215" s="128">
        <v>12.855</v>
      </c>
      <c r="AB215" s="130">
        <v>12.798</v>
      </c>
      <c r="AC215" s="127">
        <v>12.65</v>
      </c>
    </row>
    <row r="216" spans="1:29" x14ac:dyDescent="0.3">
      <c r="A216" s="134">
        <v>44690</v>
      </c>
      <c r="B216" s="134">
        <v>44743</v>
      </c>
      <c r="C216" s="135">
        <f>NETWORKDAYS(A216,B216-1,Feriados!$A$2:$A$2000)</f>
        <v>38</v>
      </c>
      <c r="D216" s="128">
        <v>12.8531</v>
      </c>
      <c r="E216" s="137">
        <f t="shared" si="69"/>
        <v>-1.900000000000901E-3</v>
      </c>
      <c r="F216" s="138">
        <f t="shared" si="70"/>
        <v>981.93173999999999</v>
      </c>
      <c r="G216" s="137">
        <f t="shared" si="76"/>
        <v>98193.17</v>
      </c>
      <c r="H216" s="137">
        <f t="shared" si="77"/>
        <v>4.8254734460906334E-2</v>
      </c>
      <c r="I216" s="139">
        <f t="shared" si="78"/>
        <v>1.0476739753233204</v>
      </c>
      <c r="J216" s="134">
        <f t="shared" si="71"/>
        <v>44743</v>
      </c>
      <c r="K216" s="130">
        <v>12.795999999999999</v>
      </c>
      <c r="L216" s="137">
        <f t="shared" si="66"/>
        <v>-2.0000000000006679E-3</v>
      </c>
      <c r="M216" s="137">
        <f t="shared" si="67"/>
        <v>98200.67</v>
      </c>
      <c r="N216" s="127">
        <v>12.65</v>
      </c>
      <c r="O216" s="140">
        <f t="shared" si="79"/>
        <v>0.77000000000407454</v>
      </c>
      <c r="P216" s="137">
        <f t="shared" si="72"/>
        <v>98200.67</v>
      </c>
      <c r="Q216" s="137">
        <f t="shared" si="80"/>
        <v>4.8067572533572189E-2</v>
      </c>
      <c r="R216" s="139">
        <f t="shared" si="81"/>
        <v>1.0471628478540369</v>
      </c>
      <c r="S216" s="169">
        <f t="shared" si="68"/>
        <v>5.7100000000000151E-2</v>
      </c>
      <c r="T216" s="157">
        <f t="shared" si="73"/>
        <v>9.9999999999766942E-5</v>
      </c>
      <c r="U216" s="137">
        <f t="shared" si="74"/>
        <v>98193.17</v>
      </c>
      <c r="V216" s="137">
        <f t="shared" si="75"/>
        <v>98192.4</v>
      </c>
      <c r="W216" s="137">
        <f t="shared" si="82"/>
        <v>4.7470187469023095E-2</v>
      </c>
      <c r="X216" s="139">
        <f t="shared" si="83"/>
        <v>1.0675641488092602</v>
      </c>
      <c r="AA216" s="128">
        <v>12.8531</v>
      </c>
      <c r="AB216" s="130">
        <v>12.795999999999999</v>
      </c>
      <c r="AC216" s="127">
        <v>12.65</v>
      </c>
    </row>
    <row r="217" spans="1:29" x14ac:dyDescent="0.3">
      <c r="A217" s="134">
        <v>44691</v>
      </c>
      <c r="B217" s="134">
        <v>44743</v>
      </c>
      <c r="C217" s="135">
        <f>NETWORKDAYS(A217,B217-1,Feriados!$A$2:$A$2000)</f>
        <v>37</v>
      </c>
      <c r="D217" s="128">
        <v>12.8514</v>
      </c>
      <c r="E217" s="137">
        <f t="shared" si="69"/>
        <v>-1.6999999999995907E-3</v>
      </c>
      <c r="F217" s="138">
        <f t="shared" si="70"/>
        <v>982.40518499999996</v>
      </c>
      <c r="G217" s="137">
        <f t="shared" si="76"/>
        <v>98240.52</v>
      </c>
      <c r="H217" s="137">
        <f t="shared" si="77"/>
        <v>4.8221276490001408E-2</v>
      </c>
      <c r="I217" s="139">
        <f t="shared" si="78"/>
        <v>1.0481791770876749</v>
      </c>
      <c r="J217" s="134">
        <f t="shared" si="71"/>
        <v>44743</v>
      </c>
      <c r="K217" s="130">
        <v>12.795999999999999</v>
      </c>
      <c r="L217" s="137">
        <f t="shared" si="66"/>
        <v>0</v>
      </c>
      <c r="M217" s="137">
        <f t="shared" si="67"/>
        <v>98247.6</v>
      </c>
      <c r="N217" s="127">
        <v>12.65</v>
      </c>
      <c r="O217" s="140">
        <f t="shared" si="79"/>
        <v>0.5</v>
      </c>
      <c r="P217" s="137">
        <f t="shared" si="72"/>
        <v>98247.6</v>
      </c>
      <c r="Q217" s="137">
        <f t="shared" si="80"/>
        <v>4.7789897971162176E-2</v>
      </c>
      <c r="R217" s="139">
        <f t="shared" si="81"/>
        <v>1.0476632859106183</v>
      </c>
      <c r="S217" s="169">
        <f t="shared" si="68"/>
        <v>5.540000000000056E-2</v>
      </c>
      <c r="T217" s="157">
        <f t="shared" si="73"/>
        <v>-1.6999999999995907E-3</v>
      </c>
      <c r="U217" s="137">
        <f t="shared" si="74"/>
        <v>98240.52</v>
      </c>
      <c r="V217" s="137">
        <f t="shared" si="75"/>
        <v>98240.02</v>
      </c>
      <c r="W217" s="137">
        <f t="shared" si="82"/>
        <v>4.771207610467787E-2</v>
      </c>
      <c r="X217" s="139">
        <f t="shared" si="83"/>
        <v>1.0680735058284063</v>
      </c>
      <c r="AA217" s="128">
        <v>12.8514</v>
      </c>
      <c r="AB217" s="130">
        <v>12.795999999999999</v>
      </c>
      <c r="AC217" s="127">
        <v>12.65</v>
      </c>
    </row>
    <row r="218" spans="1:29" x14ac:dyDescent="0.3">
      <c r="A218" s="134">
        <v>44692</v>
      </c>
      <c r="B218" s="134">
        <v>44743</v>
      </c>
      <c r="C218" s="135">
        <f>NETWORKDAYS(A218,B218-1,Feriados!$A$2:$A$2000)</f>
        <v>36</v>
      </c>
      <c r="D218" s="128">
        <v>12.863</v>
      </c>
      <c r="E218" s="137">
        <f t="shared" si="69"/>
        <v>1.1599999999999611E-2</v>
      </c>
      <c r="F218" s="138">
        <f t="shared" si="70"/>
        <v>982.86219300000005</v>
      </c>
      <c r="G218" s="137">
        <f t="shared" si="76"/>
        <v>98286.22</v>
      </c>
      <c r="H218" s="137">
        <f t="shared" si="77"/>
        <v>4.6518483411928102E-2</v>
      </c>
      <c r="I218" s="139">
        <f t="shared" si="78"/>
        <v>1.0486667741442957</v>
      </c>
      <c r="J218" s="134">
        <f t="shared" si="71"/>
        <v>44743</v>
      </c>
      <c r="K218" s="130">
        <v>12.808</v>
      </c>
      <c r="L218" s="137">
        <f t="shared" si="66"/>
        <v>1.2000000000000455E-2</v>
      </c>
      <c r="M218" s="137">
        <f t="shared" si="67"/>
        <v>98293.06</v>
      </c>
      <c r="N218" s="127">
        <v>12.65</v>
      </c>
      <c r="O218" s="140">
        <f t="shared" si="79"/>
        <v>-0.99000000000523869</v>
      </c>
      <c r="P218" s="137">
        <f t="shared" si="72"/>
        <v>98293.06</v>
      </c>
      <c r="Q218" s="137">
        <f t="shared" si="80"/>
        <v>4.6270850382090778E-2</v>
      </c>
      <c r="R218" s="139">
        <f t="shared" si="81"/>
        <v>1.0481480486221502</v>
      </c>
      <c r="S218" s="169">
        <f t="shared" si="68"/>
        <v>5.4999999999999716E-2</v>
      </c>
      <c r="T218" s="157">
        <f t="shared" si="73"/>
        <v>-4.0000000000084412E-4</v>
      </c>
      <c r="U218" s="137">
        <f t="shared" si="74"/>
        <v>98286.22</v>
      </c>
      <c r="V218" s="137">
        <f t="shared" si="75"/>
        <v>98287.21</v>
      </c>
      <c r="W218" s="137">
        <f t="shared" si="82"/>
        <v>4.7526214234205888E-2</v>
      </c>
      <c r="X218" s="139">
        <f t="shared" si="83"/>
        <v>1.0685811207309652</v>
      </c>
      <c r="AA218" s="128">
        <v>12.863</v>
      </c>
      <c r="AB218" s="130">
        <v>12.808</v>
      </c>
      <c r="AC218" s="127">
        <v>12.65</v>
      </c>
    </row>
    <row r="219" spans="1:29" x14ac:dyDescent="0.3">
      <c r="A219" s="134">
        <v>44693</v>
      </c>
      <c r="B219" s="134">
        <v>44743</v>
      </c>
      <c r="C219" s="135">
        <f>NETWORKDAYS(A219,B219-1,Feriados!$A$2:$A$2000)</f>
        <v>35</v>
      </c>
      <c r="D219" s="128">
        <v>12.8758</v>
      </c>
      <c r="E219" s="137">
        <f t="shared" si="69"/>
        <v>1.2800000000000367E-2</v>
      </c>
      <c r="F219" s="138">
        <f t="shared" si="70"/>
        <v>983.31876599999998</v>
      </c>
      <c r="G219" s="137">
        <f t="shared" si="76"/>
        <v>98331.88</v>
      </c>
      <c r="H219" s="137">
        <f t="shared" si="77"/>
        <v>4.6456156315710651E-2</v>
      </c>
      <c r="I219" s="139">
        <f t="shared" si="78"/>
        <v>1.049153944420123</v>
      </c>
      <c r="J219" s="134">
        <f t="shared" si="71"/>
        <v>44743</v>
      </c>
      <c r="K219" s="130">
        <v>12.821999999999999</v>
      </c>
      <c r="L219" s="137">
        <f t="shared" si="66"/>
        <v>1.3999999999999346E-2</v>
      </c>
      <c r="M219" s="137">
        <f t="shared" si="67"/>
        <v>98338.39</v>
      </c>
      <c r="N219" s="127">
        <v>12.65</v>
      </c>
      <c r="O219" s="140">
        <f t="shared" si="79"/>
        <v>-1.1399999999994179</v>
      </c>
      <c r="P219" s="137">
        <f t="shared" si="72"/>
        <v>98338.39</v>
      </c>
      <c r="Q219" s="137">
        <f t="shared" si="80"/>
        <v>4.6117192810979368E-2</v>
      </c>
      <c r="R219" s="139">
        <f t="shared" si="81"/>
        <v>1.0486314250786777</v>
      </c>
      <c r="S219" s="169">
        <f t="shared" si="68"/>
        <v>5.3800000000000736E-2</v>
      </c>
      <c r="T219" s="157">
        <f t="shared" si="73"/>
        <v>-1.1999999999989797E-3</v>
      </c>
      <c r="U219" s="137">
        <f t="shared" si="74"/>
        <v>98331.88</v>
      </c>
      <c r="V219" s="137">
        <f t="shared" si="75"/>
        <v>98333.02</v>
      </c>
      <c r="W219" s="137">
        <f t="shared" si="82"/>
        <v>4.7616034068664881E-2</v>
      </c>
      <c r="X219" s="139">
        <f t="shared" si="83"/>
        <v>1.0690899366814639</v>
      </c>
      <c r="AA219" s="128">
        <v>12.8758</v>
      </c>
      <c r="AB219" s="130">
        <v>12.821999999999999</v>
      </c>
      <c r="AC219" s="127">
        <v>12.65</v>
      </c>
    </row>
    <row r="220" spans="1:29" x14ac:dyDescent="0.3">
      <c r="A220" s="134">
        <v>44694</v>
      </c>
      <c r="B220" s="134">
        <v>44743</v>
      </c>
      <c r="C220" s="135">
        <f>NETWORKDAYS(A220,B220-1,Feriados!$A$2:$A$2000)</f>
        <v>34</v>
      </c>
      <c r="D220" s="128">
        <v>12.882400000000001</v>
      </c>
      <c r="E220" s="137">
        <f t="shared" si="69"/>
        <v>6.6000000000006054E-3</v>
      </c>
      <c r="F220" s="138">
        <f t="shared" si="70"/>
        <v>983.783728</v>
      </c>
      <c r="G220" s="137">
        <f t="shared" si="76"/>
        <v>98378.37</v>
      </c>
      <c r="H220" s="137">
        <f t="shared" si="77"/>
        <v>4.7278664864336406E-2</v>
      </c>
      <c r="I220" s="139">
        <f t="shared" si="78"/>
        <v>1.0496499703974163</v>
      </c>
      <c r="J220" s="134">
        <f t="shared" si="71"/>
        <v>44743</v>
      </c>
      <c r="K220" s="130">
        <v>12.83</v>
      </c>
      <c r="L220" s="137">
        <f t="shared" si="66"/>
        <v>8.0000000000008953E-3</v>
      </c>
      <c r="M220" s="137">
        <f t="shared" si="67"/>
        <v>98384.54</v>
      </c>
      <c r="N220" s="127">
        <v>12.65</v>
      </c>
      <c r="O220" s="140">
        <f t="shared" si="79"/>
        <v>-0.34000000001105946</v>
      </c>
      <c r="P220" s="137">
        <f t="shared" si="72"/>
        <v>98384.54</v>
      </c>
      <c r="Q220" s="137">
        <f t="shared" si="80"/>
        <v>4.6929790085026291E-2</v>
      </c>
      <c r="R220" s="139">
        <f t="shared" si="81"/>
        <v>1.0491235456052328</v>
      </c>
      <c r="S220" s="169">
        <f t="shared" si="68"/>
        <v>5.2400000000000446E-2</v>
      </c>
      <c r="T220" s="157">
        <f t="shared" si="73"/>
        <v>-1.4000000000002899E-3</v>
      </c>
      <c r="U220" s="137">
        <f t="shared" si="74"/>
        <v>98378.37</v>
      </c>
      <c r="V220" s="137">
        <f t="shared" si="75"/>
        <v>98378.71</v>
      </c>
      <c r="W220" s="137">
        <f t="shared" si="82"/>
        <v>4.7624432686532714E-2</v>
      </c>
      <c r="X220" s="139">
        <f t="shared" si="83"/>
        <v>1.0695990846987173</v>
      </c>
      <c r="AA220" s="128">
        <v>12.882400000000001</v>
      </c>
      <c r="AB220" s="130">
        <v>12.83</v>
      </c>
      <c r="AC220" s="127">
        <v>12.65</v>
      </c>
    </row>
    <row r="221" spans="1:29" x14ac:dyDescent="0.3">
      <c r="A221" s="134">
        <v>44697</v>
      </c>
      <c r="B221" s="134">
        <v>44743</v>
      </c>
      <c r="C221" s="135">
        <f>NETWORKDAYS(A221,B221-1,Feriados!$A$2:$A$2000)</f>
        <v>33</v>
      </c>
      <c r="D221" s="128">
        <v>12.8725</v>
      </c>
      <c r="E221" s="137">
        <f t="shared" si="69"/>
        <v>-9.9000000000000199E-3</v>
      </c>
      <c r="F221" s="138">
        <f t="shared" si="70"/>
        <v>984.26820699999996</v>
      </c>
      <c r="G221" s="137">
        <f t="shared" si="76"/>
        <v>98426.82</v>
      </c>
      <c r="H221" s="137">
        <f t="shared" si="77"/>
        <v>4.9248630567899632E-2</v>
      </c>
      <c r="I221" s="139">
        <f t="shared" si="78"/>
        <v>1.0501669086335934</v>
      </c>
      <c r="J221" s="134">
        <f t="shared" si="71"/>
        <v>44743</v>
      </c>
      <c r="K221" s="130">
        <v>12.824</v>
      </c>
      <c r="L221" s="137">
        <f t="shared" si="66"/>
        <v>-6.0000000000002274E-3</v>
      </c>
      <c r="M221" s="137">
        <f t="shared" si="67"/>
        <v>98432.36</v>
      </c>
      <c r="N221" s="127">
        <v>12.65</v>
      </c>
      <c r="O221" s="140">
        <f t="shared" si="79"/>
        <v>1.3000000000029104</v>
      </c>
      <c r="P221" s="137">
        <f t="shared" si="72"/>
        <v>98432.36</v>
      </c>
      <c r="Q221" s="137">
        <f t="shared" si="80"/>
        <v>4.8605197523921007E-2</v>
      </c>
      <c r="R221" s="139">
        <f t="shared" si="81"/>
        <v>1.0496334741768443</v>
      </c>
      <c r="S221" s="169">
        <f t="shared" si="68"/>
        <v>4.8500000000000654E-2</v>
      </c>
      <c r="T221" s="157">
        <f t="shared" si="73"/>
        <v>-3.8999999999997925E-3</v>
      </c>
      <c r="U221" s="137">
        <f t="shared" si="74"/>
        <v>98426.82</v>
      </c>
      <c r="V221" s="137">
        <f t="shared" si="75"/>
        <v>98425.52</v>
      </c>
      <c r="W221" s="137">
        <f t="shared" si="82"/>
        <v>4.7927201883912751E-2</v>
      </c>
      <c r="X221" s="139">
        <f t="shared" si="83"/>
        <v>1.0701117136113893</v>
      </c>
      <c r="AA221" s="128">
        <v>12.8725</v>
      </c>
      <c r="AB221" s="130">
        <v>12.824</v>
      </c>
      <c r="AC221" s="127">
        <v>12.65</v>
      </c>
    </row>
    <row r="222" spans="1:29" x14ac:dyDescent="0.3">
      <c r="A222" s="134">
        <v>44698</v>
      </c>
      <c r="B222" s="134">
        <v>44743</v>
      </c>
      <c r="C222" s="135">
        <f>NETWORKDAYS(A222,B222-1,Feriados!$A$2:$A$2000)</f>
        <v>32</v>
      </c>
      <c r="D222" s="128">
        <v>12.880100000000001</v>
      </c>
      <c r="E222" s="137">
        <f t="shared" si="69"/>
        <v>7.6000000000000512E-3</v>
      </c>
      <c r="F222" s="138">
        <f t="shared" si="70"/>
        <v>984.73285199999998</v>
      </c>
      <c r="G222" s="137">
        <f t="shared" si="76"/>
        <v>98473.29</v>
      </c>
      <c r="H222" s="137">
        <f t="shared" si="77"/>
        <v>4.721274140522258E-2</v>
      </c>
      <c r="I222" s="139">
        <f t="shared" si="78"/>
        <v>1.0506627212204898</v>
      </c>
      <c r="J222" s="134">
        <f t="shared" si="71"/>
        <v>44743</v>
      </c>
      <c r="K222" s="130">
        <v>12.834</v>
      </c>
      <c r="L222" s="137">
        <f t="shared" si="66"/>
        <v>9.9999999999997868E-3</v>
      </c>
      <c r="M222" s="137">
        <f t="shared" si="67"/>
        <v>98478.39</v>
      </c>
      <c r="N222" s="127">
        <v>12.65</v>
      </c>
      <c r="O222" s="140">
        <f t="shared" si="79"/>
        <v>-0.50999999999476131</v>
      </c>
      <c r="P222" s="137">
        <f t="shared" si="72"/>
        <v>98478.39</v>
      </c>
      <c r="Q222" s="137">
        <f t="shared" si="80"/>
        <v>4.6763076695510719E-2</v>
      </c>
      <c r="R222" s="139">
        <f t="shared" si="81"/>
        <v>1.0501243150833954</v>
      </c>
      <c r="S222" s="169">
        <f t="shared" si="68"/>
        <v>4.6100000000000918E-2</v>
      </c>
      <c r="T222" s="157">
        <f t="shared" si="73"/>
        <v>-2.3999999999997357E-3</v>
      </c>
      <c r="U222" s="137">
        <f t="shared" si="74"/>
        <v>98473.29</v>
      </c>
      <c r="V222" s="137">
        <f t="shared" si="75"/>
        <v>98473.799999999988</v>
      </c>
      <c r="W222" s="137">
        <f t="shared" si="82"/>
        <v>4.7730892860275986E-2</v>
      </c>
      <c r="X222" s="139">
        <f t="shared" si="83"/>
        <v>1.0706224874868984</v>
      </c>
      <c r="AA222" s="128">
        <v>12.880100000000001</v>
      </c>
      <c r="AB222" s="130">
        <v>12.834</v>
      </c>
      <c r="AC222" s="127">
        <v>12.65</v>
      </c>
    </row>
    <row r="223" spans="1:29" x14ac:dyDescent="0.3">
      <c r="A223" s="134">
        <v>44699</v>
      </c>
      <c r="B223" s="134">
        <v>44743</v>
      </c>
      <c r="C223" s="135">
        <f>NETWORKDAYS(A223,B223-1,Feriados!$A$2:$A$2000)</f>
        <v>31</v>
      </c>
      <c r="D223" s="128">
        <v>12.8874</v>
      </c>
      <c r="E223" s="137">
        <f t="shared" si="69"/>
        <v>7.299999999998974E-3</v>
      </c>
      <c r="F223" s="138">
        <f t="shared" si="70"/>
        <v>985.19856700000003</v>
      </c>
      <c r="G223" s="137">
        <f t="shared" si="76"/>
        <v>98519.86</v>
      </c>
      <c r="H223" s="137">
        <f t="shared" si="77"/>
        <v>4.7292011874500162E-2</v>
      </c>
      <c r="I223" s="139">
        <f t="shared" si="78"/>
        <v>1.0511596007593702</v>
      </c>
      <c r="J223" s="134">
        <f t="shared" si="71"/>
        <v>44743</v>
      </c>
      <c r="K223" s="130">
        <v>12.827999999999999</v>
      </c>
      <c r="L223" s="137">
        <f t="shared" si="66"/>
        <v>-6.0000000000002274E-3</v>
      </c>
      <c r="M223" s="137">
        <f t="shared" si="67"/>
        <v>98526.24</v>
      </c>
      <c r="N223" s="127">
        <v>12.65</v>
      </c>
      <c r="O223" s="140">
        <f t="shared" si="79"/>
        <v>1.2900000000081491</v>
      </c>
      <c r="P223" s="137">
        <f t="shared" si="72"/>
        <v>98526.24</v>
      </c>
      <c r="Q223" s="137">
        <f t="shared" si="80"/>
        <v>4.858934026035211E-2</v>
      </c>
      <c r="R223" s="139">
        <f t="shared" si="81"/>
        <v>1.0506345635600081</v>
      </c>
      <c r="S223" s="169">
        <f t="shared" si="68"/>
        <v>5.9400000000000119E-2</v>
      </c>
      <c r="T223" s="157">
        <f t="shared" si="73"/>
        <v>1.3299999999999201E-2</v>
      </c>
      <c r="U223" s="137">
        <f t="shared" si="74"/>
        <v>98519.86</v>
      </c>
      <c r="V223" s="137">
        <f t="shared" si="75"/>
        <v>98518.569999999992</v>
      </c>
      <c r="W223" s="137">
        <f t="shared" si="82"/>
        <v>4.5982011975032044E-2</v>
      </c>
      <c r="X223" s="139">
        <f t="shared" si="83"/>
        <v>1.0711147812473021</v>
      </c>
      <c r="AA223" s="128">
        <v>12.8874</v>
      </c>
      <c r="AB223" s="130">
        <v>12.827999999999999</v>
      </c>
      <c r="AC223" s="127">
        <v>12.65</v>
      </c>
    </row>
    <row r="224" spans="1:29" x14ac:dyDescent="0.3">
      <c r="A224" s="134">
        <v>44700</v>
      </c>
      <c r="B224" s="134">
        <v>44743</v>
      </c>
      <c r="C224" s="135">
        <f>NETWORKDAYS(A224,B224-1,Feriados!$A$2:$A$2000)</f>
        <v>30</v>
      </c>
      <c r="D224" s="128">
        <v>12.8895</v>
      </c>
      <c r="E224" s="137">
        <f t="shared" si="69"/>
        <v>2.1000000000004349E-3</v>
      </c>
      <c r="F224" s="138">
        <f t="shared" si="70"/>
        <v>985.67041200000006</v>
      </c>
      <c r="G224" s="137">
        <f t="shared" si="76"/>
        <v>98567.039999999994</v>
      </c>
      <c r="H224" s="137">
        <f t="shared" si="77"/>
        <v>4.7888821604091802E-2</v>
      </c>
      <c r="I224" s="139">
        <f t="shared" si="78"/>
        <v>1.0516629887053521</v>
      </c>
      <c r="J224" s="134">
        <f t="shared" si="71"/>
        <v>44743</v>
      </c>
      <c r="K224" s="130">
        <v>12.83</v>
      </c>
      <c r="L224" s="137">
        <f t="shared" si="66"/>
        <v>2.0000000000006679E-3</v>
      </c>
      <c r="M224" s="137">
        <f t="shared" si="67"/>
        <v>98573.23</v>
      </c>
      <c r="N224" s="127">
        <v>12.65</v>
      </c>
      <c r="O224" s="140">
        <f t="shared" si="79"/>
        <v>0.40999999998894054</v>
      </c>
      <c r="P224" s="137">
        <f t="shared" si="72"/>
        <v>98573.23</v>
      </c>
      <c r="Q224" s="137">
        <f t="shared" si="80"/>
        <v>4.7692878567162644E-2</v>
      </c>
      <c r="R224" s="139">
        <f t="shared" si="81"/>
        <v>1.0511356414265913</v>
      </c>
      <c r="S224" s="169">
        <f t="shared" si="68"/>
        <v>5.9499999999999886E-2</v>
      </c>
      <c r="T224" s="157">
        <f t="shared" si="73"/>
        <v>9.9999999999766942E-5</v>
      </c>
      <c r="U224" s="137">
        <f t="shared" si="74"/>
        <v>98567.039999999994</v>
      </c>
      <c r="V224" s="137">
        <f t="shared" si="75"/>
        <v>98566.63</v>
      </c>
      <c r="W224" s="137">
        <f t="shared" si="82"/>
        <v>4.7472661857228537E-2</v>
      </c>
      <c r="X224" s="139">
        <f t="shared" si="83"/>
        <v>1.0716232679455064</v>
      </c>
      <c r="AA224" s="128">
        <v>12.8895</v>
      </c>
      <c r="AB224" s="130">
        <v>12.83</v>
      </c>
      <c r="AC224" s="127">
        <v>12.65</v>
      </c>
    </row>
    <row r="225" spans="1:29" x14ac:dyDescent="0.3">
      <c r="A225" s="134">
        <v>44701</v>
      </c>
      <c r="B225" s="134">
        <v>44743</v>
      </c>
      <c r="C225" s="135">
        <f>NETWORKDAYS(A225,B225-1,Feriados!$A$2:$A$2000)</f>
        <v>29</v>
      </c>
      <c r="D225" s="128">
        <v>12.8878</v>
      </c>
      <c r="E225" s="137">
        <f t="shared" si="69"/>
        <v>-1.6999999999995907E-3</v>
      </c>
      <c r="F225" s="138">
        <f t="shared" si="70"/>
        <v>986.14644899999996</v>
      </c>
      <c r="G225" s="137">
        <f t="shared" si="76"/>
        <v>98614.64</v>
      </c>
      <c r="H225" s="137">
        <f t="shared" si="77"/>
        <v>4.8292005116512549E-2</v>
      </c>
      <c r="I225" s="139">
        <f t="shared" si="78"/>
        <v>1.0521708578496662</v>
      </c>
      <c r="J225" s="134">
        <f t="shared" si="71"/>
        <v>44743</v>
      </c>
      <c r="K225" s="130">
        <v>12.827999999999999</v>
      </c>
      <c r="L225" s="137">
        <f t="shared" si="66"/>
        <v>-2.0000000000006679E-3</v>
      </c>
      <c r="M225" s="137">
        <f t="shared" si="67"/>
        <v>98620.66</v>
      </c>
      <c r="N225" s="127">
        <v>12.65</v>
      </c>
      <c r="O225" s="140">
        <f t="shared" si="79"/>
        <v>0.83000000000174623</v>
      </c>
      <c r="P225" s="137">
        <f t="shared" si="72"/>
        <v>98620.66</v>
      </c>
      <c r="Q225" s="137">
        <f t="shared" si="80"/>
        <v>4.8116511957663199E-2</v>
      </c>
      <c r="R225" s="139">
        <f t="shared" si="81"/>
        <v>1.0516414112331895</v>
      </c>
      <c r="S225" s="169">
        <f t="shared" si="68"/>
        <v>5.9800000000000963E-2</v>
      </c>
      <c r="T225" s="157">
        <f t="shared" si="73"/>
        <v>3.0000000000107718E-4</v>
      </c>
      <c r="U225" s="137">
        <f t="shared" si="74"/>
        <v>98614.64</v>
      </c>
      <c r="V225" s="137">
        <f t="shared" si="75"/>
        <v>98613.81</v>
      </c>
      <c r="W225" s="137">
        <f t="shared" si="82"/>
        <v>4.7449938640742317E-2</v>
      </c>
      <c r="X225" s="139">
        <f t="shared" si="83"/>
        <v>1.0721317525286065</v>
      </c>
      <c r="AA225" s="128">
        <v>12.8878</v>
      </c>
      <c r="AB225" s="130">
        <v>12.827999999999999</v>
      </c>
      <c r="AC225" s="127">
        <v>12.65</v>
      </c>
    </row>
    <row r="226" spans="1:29" x14ac:dyDescent="0.3">
      <c r="A226" s="134">
        <v>44704</v>
      </c>
      <c r="B226" s="134">
        <v>44743</v>
      </c>
      <c r="C226" s="135">
        <f>NETWORKDAYS(A226,B226-1,Feriados!$A$2:$A$2000)</f>
        <v>28</v>
      </c>
      <c r="D226" s="128">
        <v>12.8972</v>
      </c>
      <c r="E226" s="137">
        <f t="shared" si="69"/>
        <v>9.3999999999994088E-3</v>
      </c>
      <c r="F226" s="138">
        <f t="shared" si="70"/>
        <v>986.61181999999997</v>
      </c>
      <c r="G226" s="137">
        <f t="shared" si="76"/>
        <v>98661.18</v>
      </c>
      <c r="H226" s="137">
        <f t="shared" si="77"/>
        <v>4.7193804084244562E-2</v>
      </c>
      <c r="I226" s="139">
        <f t="shared" si="78"/>
        <v>1.0526674173029513</v>
      </c>
      <c r="J226" s="134">
        <f t="shared" si="71"/>
        <v>44743</v>
      </c>
      <c r="K226" s="130">
        <v>12.837999999999999</v>
      </c>
      <c r="L226" s="137">
        <f t="shared" si="66"/>
        <v>9.9999999999997868E-3</v>
      </c>
      <c r="M226" s="137">
        <f t="shared" si="67"/>
        <v>98666.93</v>
      </c>
      <c r="N226" s="127">
        <v>12.65</v>
      </c>
      <c r="O226" s="140">
        <f t="shared" si="79"/>
        <v>-0.36000000000058208</v>
      </c>
      <c r="P226" s="137">
        <f t="shared" si="72"/>
        <v>98666.93</v>
      </c>
      <c r="Q226" s="137">
        <f t="shared" si="80"/>
        <v>4.6917146975067325E-2</v>
      </c>
      <c r="R226" s="139">
        <f t="shared" si="81"/>
        <v>1.0521348113797484</v>
      </c>
      <c r="S226" s="169">
        <f t="shared" si="68"/>
        <v>5.9200000000000585E-2</v>
      </c>
      <c r="T226" s="157">
        <f t="shared" si="73"/>
        <v>-6.0000000000037801E-4</v>
      </c>
      <c r="U226" s="137">
        <f t="shared" si="74"/>
        <v>98661.18</v>
      </c>
      <c r="V226" s="137">
        <f t="shared" si="75"/>
        <v>98661.54</v>
      </c>
      <c r="W226" s="137">
        <f t="shared" si="82"/>
        <v>4.7558861442875688E-2</v>
      </c>
      <c r="X226" s="139">
        <f t="shared" si="83"/>
        <v>1.0726416461832766</v>
      </c>
      <c r="AA226" s="128">
        <v>12.8972</v>
      </c>
      <c r="AB226" s="130">
        <v>12.837999999999999</v>
      </c>
      <c r="AC226" s="127">
        <v>12.65</v>
      </c>
    </row>
    <row r="227" spans="1:29" x14ac:dyDescent="0.3">
      <c r="A227" s="134">
        <v>44705</v>
      </c>
      <c r="B227" s="134">
        <v>44743</v>
      </c>
      <c r="C227" s="135">
        <f>NETWORKDAYS(A227,B227-1,Feriados!$A$2:$A$2000)</f>
        <v>27</v>
      </c>
      <c r="D227" s="128">
        <v>12.9193</v>
      </c>
      <c r="E227" s="137">
        <f t="shared" si="69"/>
        <v>2.2100000000000009E-2</v>
      </c>
      <c r="F227" s="138">
        <f t="shared" si="70"/>
        <v>987.06616799999995</v>
      </c>
      <c r="G227" s="137">
        <f t="shared" si="76"/>
        <v>98706.62</v>
      </c>
      <c r="H227" s="137">
        <f t="shared" si="77"/>
        <v>4.6056615175293913E-2</v>
      </c>
      <c r="I227" s="139">
        <f t="shared" si="78"/>
        <v>1.0531522402844142</v>
      </c>
      <c r="J227" s="134">
        <f t="shared" si="71"/>
        <v>44743</v>
      </c>
      <c r="K227" s="130">
        <v>12.856</v>
      </c>
      <c r="L227" s="137">
        <f t="shared" si="66"/>
        <v>1.8000000000000682E-2</v>
      </c>
      <c r="M227" s="137">
        <f t="shared" si="67"/>
        <v>98712.55</v>
      </c>
      <c r="N227" s="127">
        <v>12.65</v>
      </c>
      <c r="O227" s="140">
        <f t="shared" si="79"/>
        <v>-1.0299999999988358</v>
      </c>
      <c r="P227" s="137">
        <f t="shared" si="72"/>
        <v>98712.55</v>
      </c>
      <c r="Q227" s="137">
        <f t="shared" si="80"/>
        <v>4.6236363085383481E-2</v>
      </c>
      <c r="R227" s="139">
        <f t="shared" si="81"/>
        <v>1.0526212802512858</v>
      </c>
      <c r="S227" s="169">
        <f t="shared" si="68"/>
        <v>6.3299999999999912E-2</v>
      </c>
      <c r="T227" s="157">
        <f t="shared" si="73"/>
        <v>4.0999999999993264E-3</v>
      </c>
      <c r="U227" s="137">
        <f t="shared" si="74"/>
        <v>98706.62</v>
      </c>
      <c r="V227" s="137">
        <f t="shared" si="75"/>
        <v>98707.65</v>
      </c>
      <c r="W227" s="137">
        <f t="shared" si="82"/>
        <v>4.710059214778628E-2</v>
      </c>
      <c r="X227" s="139">
        <f t="shared" si="83"/>
        <v>1.0731468667502526</v>
      </c>
      <c r="AA227" s="128">
        <v>12.9193</v>
      </c>
      <c r="AB227" s="130">
        <v>12.856</v>
      </c>
      <c r="AC227" s="127">
        <v>12.65</v>
      </c>
    </row>
    <row r="228" spans="1:29" x14ac:dyDescent="0.3">
      <c r="A228" s="134">
        <v>44706</v>
      </c>
      <c r="B228" s="134">
        <v>44743</v>
      </c>
      <c r="C228" s="135">
        <f>NETWORKDAYS(A228,B228-1,Feriados!$A$2:$A$2000)</f>
        <v>26</v>
      </c>
      <c r="D228" s="128">
        <v>12.9214</v>
      </c>
      <c r="E228" s="137">
        <f t="shared" si="69"/>
        <v>2.1000000000004349E-3</v>
      </c>
      <c r="F228" s="138">
        <f t="shared" si="70"/>
        <v>987.54030699999998</v>
      </c>
      <c r="G228" s="137">
        <f t="shared" si="76"/>
        <v>98754.03</v>
      </c>
      <c r="H228" s="137">
        <f t="shared" si="77"/>
        <v>4.8031226274392047E-2</v>
      </c>
      <c r="I228" s="139">
        <f t="shared" si="78"/>
        <v>1.053658082219959</v>
      </c>
      <c r="J228" s="134">
        <f t="shared" si="71"/>
        <v>44743</v>
      </c>
      <c r="K228" s="130">
        <v>12.864000000000001</v>
      </c>
      <c r="L228" s="137">
        <f t="shared" si="66"/>
        <v>8.0000000000008953E-3</v>
      </c>
      <c r="M228" s="137">
        <f t="shared" si="67"/>
        <v>98759.21</v>
      </c>
      <c r="N228" s="127">
        <v>12.65</v>
      </c>
      <c r="O228" s="140">
        <f t="shared" si="79"/>
        <v>-9.9999999947613105E-3</v>
      </c>
      <c r="P228" s="137">
        <f t="shared" si="72"/>
        <v>98759.21</v>
      </c>
      <c r="Q228" s="137">
        <f t="shared" si="80"/>
        <v>4.7268559063673443E-2</v>
      </c>
      <c r="R228" s="139">
        <f t="shared" si="81"/>
        <v>1.0531188391628581</v>
      </c>
      <c r="S228" s="169">
        <f t="shared" si="68"/>
        <v>5.7399999999999451E-2</v>
      </c>
      <c r="T228" s="157">
        <f t="shared" si="73"/>
        <v>-5.9000000000004604E-3</v>
      </c>
      <c r="U228" s="137">
        <f t="shared" si="74"/>
        <v>98754.03</v>
      </c>
      <c r="V228" s="137">
        <f t="shared" si="75"/>
        <v>98754.04</v>
      </c>
      <c r="W228" s="137">
        <f t="shared" si="82"/>
        <v>4.8041357307138099E-2</v>
      </c>
      <c r="X228" s="139">
        <f t="shared" si="83"/>
        <v>1.0736624210709385</v>
      </c>
      <c r="AA228" s="128">
        <v>12.9214</v>
      </c>
      <c r="AB228" s="130">
        <v>12.864000000000001</v>
      </c>
      <c r="AC228" s="127">
        <v>12.65</v>
      </c>
    </row>
    <row r="229" spans="1:29" x14ac:dyDescent="0.3">
      <c r="A229" s="134">
        <v>44707</v>
      </c>
      <c r="B229" s="134">
        <v>44743</v>
      </c>
      <c r="C229" s="135">
        <f>NETWORKDAYS(A229,B229-1,Feriados!$A$2:$A$2000)</f>
        <v>25</v>
      </c>
      <c r="D229" s="128">
        <v>12.9247</v>
      </c>
      <c r="E229" s="137">
        <f t="shared" si="69"/>
        <v>3.2999999999994145E-3</v>
      </c>
      <c r="F229" s="138">
        <f t="shared" si="70"/>
        <v>988.013779</v>
      </c>
      <c r="G229" s="137">
        <f t="shared" si="76"/>
        <v>98801.38</v>
      </c>
      <c r="H229" s="137">
        <f t="shared" si="77"/>
        <v>4.7947410348725406E-2</v>
      </c>
      <c r="I229" s="139">
        <f t="shared" si="78"/>
        <v>1.0541632839843136</v>
      </c>
      <c r="J229" s="134">
        <f t="shared" si="71"/>
        <v>44743</v>
      </c>
      <c r="K229" s="130">
        <v>12.866</v>
      </c>
      <c r="L229" s="137">
        <f t="shared" si="66"/>
        <v>1.9999999999988916E-3</v>
      </c>
      <c r="M229" s="137">
        <f t="shared" si="67"/>
        <v>98806.47</v>
      </c>
      <c r="N229" s="127">
        <v>12.65</v>
      </c>
      <c r="O229" s="140">
        <f t="shared" si="79"/>
        <v>0.57000000000698492</v>
      </c>
      <c r="P229" s="137">
        <f t="shared" si="72"/>
        <v>98806.47</v>
      </c>
      <c r="Q229" s="137">
        <f t="shared" si="80"/>
        <v>4.7853764727356918E-2</v>
      </c>
      <c r="R229" s="139">
        <f t="shared" si="81"/>
        <v>1.0536227961744506</v>
      </c>
      <c r="S229" s="169">
        <f t="shared" si="68"/>
        <v>5.8699999999999974E-2</v>
      </c>
      <c r="T229" s="157">
        <f t="shared" si="73"/>
        <v>1.300000000000523E-3</v>
      </c>
      <c r="U229" s="137">
        <f t="shared" si="74"/>
        <v>98801.38</v>
      </c>
      <c r="V229" s="137">
        <f t="shared" si="75"/>
        <v>98800.81</v>
      </c>
      <c r="W229" s="137">
        <f t="shared" si="82"/>
        <v>4.7370218714104517E-2</v>
      </c>
      <c r="X229" s="139">
        <f t="shared" si="83"/>
        <v>1.074171017308051</v>
      </c>
      <c r="AA229" s="128">
        <v>12.9247</v>
      </c>
      <c r="AB229" s="130">
        <v>12.866</v>
      </c>
      <c r="AC229" s="127">
        <v>12.65</v>
      </c>
    </row>
    <row r="230" spans="1:29" x14ac:dyDescent="0.3">
      <c r="A230" s="134">
        <v>44708</v>
      </c>
      <c r="B230" s="134">
        <v>44743</v>
      </c>
      <c r="C230" s="135">
        <f>NETWORKDAYS(A230,B230-1,Feriados!$A$2:$A$2000)</f>
        <v>24</v>
      </c>
      <c r="D230" s="128">
        <v>12.930199999999999</v>
      </c>
      <c r="E230" s="137">
        <f t="shared" si="69"/>
        <v>5.4999999999996163E-3</v>
      </c>
      <c r="F230" s="138">
        <f t="shared" si="70"/>
        <v>988.48587199999997</v>
      </c>
      <c r="G230" s="137">
        <f t="shared" si="76"/>
        <v>98848.59</v>
      </c>
      <c r="H230" s="137">
        <f t="shared" si="77"/>
        <v>4.7782733399048816E-2</v>
      </c>
      <c r="I230" s="139">
        <f t="shared" si="78"/>
        <v>1.0546669920158904</v>
      </c>
      <c r="J230" s="134">
        <f t="shared" si="71"/>
        <v>44743</v>
      </c>
      <c r="K230" s="130">
        <v>12.872</v>
      </c>
      <c r="L230" s="137">
        <f t="shared" si="66"/>
        <v>6.0000000000002274E-3</v>
      </c>
      <c r="M230" s="137">
        <f t="shared" si="67"/>
        <v>98853.440000000002</v>
      </c>
      <c r="N230" s="127">
        <v>12.65</v>
      </c>
      <c r="O230" s="140">
        <f t="shared" si="79"/>
        <v>0.26000000000931323</v>
      </c>
      <c r="P230" s="137">
        <f t="shared" si="72"/>
        <v>98853.440000000002</v>
      </c>
      <c r="Q230" s="137">
        <f t="shared" si="80"/>
        <v>4.7537372805650513E-2</v>
      </c>
      <c r="R230" s="139">
        <f t="shared" si="81"/>
        <v>1.0541236607710334</v>
      </c>
      <c r="S230" s="169">
        <f t="shared" si="68"/>
        <v>5.8199999999999363E-2</v>
      </c>
      <c r="T230" s="157">
        <f t="shared" si="73"/>
        <v>-5.0000000000061107E-4</v>
      </c>
      <c r="U230" s="137">
        <f t="shared" si="74"/>
        <v>98848.59</v>
      </c>
      <c r="V230" s="137">
        <f t="shared" si="75"/>
        <v>98848.329999999987</v>
      </c>
      <c r="W230" s="137">
        <f t="shared" si="82"/>
        <v>4.7519579179944316E-2</v>
      </c>
      <c r="X230" s="139">
        <f t="shared" si="83"/>
        <v>1.0746814588551488</v>
      </c>
      <c r="AA230" s="128">
        <v>12.930199999999999</v>
      </c>
      <c r="AB230" s="130">
        <v>12.872</v>
      </c>
      <c r="AC230" s="127">
        <v>12.65</v>
      </c>
    </row>
    <row r="231" spans="1:29" x14ac:dyDescent="0.3">
      <c r="A231" s="134">
        <v>44711</v>
      </c>
      <c r="B231" s="134">
        <v>44743</v>
      </c>
      <c r="C231" s="135">
        <f>NETWORKDAYS(A231,B231-1,Feriados!$A$2:$A$2000)</f>
        <v>23</v>
      </c>
      <c r="D231" s="128">
        <v>12.9445</v>
      </c>
      <c r="E231" s="137">
        <f t="shared" si="69"/>
        <v>1.4300000000000423E-2</v>
      </c>
      <c r="F231" s="138">
        <f t="shared" si="70"/>
        <v>988.95154100000002</v>
      </c>
      <c r="G231" s="137">
        <f t="shared" si="76"/>
        <v>98895.15</v>
      </c>
      <c r="H231" s="137">
        <f t="shared" si="77"/>
        <v>4.7102341065263786E-2</v>
      </c>
      <c r="I231" s="139">
        <f t="shared" si="78"/>
        <v>1.0551637648595724</v>
      </c>
      <c r="J231" s="134">
        <f t="shared" si="71"/>
        <v>44743</v>
      </c>
      <c r="K231" s="130">
        <v>12.885999999999999</v>
      </c>
      <c r="L231" s="137">
        <f t="shared" si="66"/>
        <v>1.3999999999999346E-2</v>
      </c>
      <c r="M231" s="137">
        <f t="shared" si="67"/>
        <v>98899.83</v>
      </c>
      <c r="N231" s="127">
        <v>12.65</v>
      </c>
      <c r="O231" s="140">
        <f t="shared" si="79"/>
        <v>-0.34999999999126885</v>
      </c>
      <c r="P231" s="137">
        <f t="shared" si="72"/>
        <v>98899.83</v>
      </c>
      <c r="Q231" s="137">
        <f t="shared" si="80"/>
        <v>4.6928058345763191E-2</v>
      </c>
      <c r="R231" s="139">
        <f t="shared" si="81"/>
        <v>1.0546183405375964</v>
      </c>
      <c r="S231" s="169">
        <f t="shared" si="68"/>
        <v>5.8500000000000441E-2</v>
      </c>
      <c r="T231" s="157">
        <f t="shared" si="73"/>
        <v>3.0000000000107718E-4</v>
      </c>
      <c r="U231" s="137">
        <f t="shared" si="74"/>
        <v>98895.15</v>
      </c>
      <c r="V231" s="137">
        <f t="shared" si="75"/>
        <v>98895.499999999985</v>
      </c>
      <c r="W231" s="137">
        <f t="shared" si="82"/>
        <v>4.7456417941815765E-2</v>
      </c>
      <c r="X231" s="139">
        <f t="shared" si="83"/>
        <v>1.0751914641798062</v>
      </c>
      <c r="AA231" s="128">
        <v>12.9445</v>
      </c>
      <c r="AB231" s="130">
        <v>12.885999999999999</v>
      </c>
      <c r="AC231" s="127">
        <v>12.65</v>
      </c>
    </row>
    <row r="232" spans="1:29" x14ac:dyDescent="0.3">
      <c r="A232" s="134">
        <v>44712</v>
      </c>
      <c r="B232" s="134">
        <v>44743</v>
      </c>
      <c r="C232" s="135">
        <f>NETWORKDAYS(A232,B232-1,Feriados!$A$2:$A$2000)</f>
        <v>22</v>
      </c>
      <c r="D232" s="128">
        <v>12.949400000000001</v>
      </c>
      <c r="E232" s="137">
        <f t="shared" si="69"/>
        <v>4.9000000000010147E-3</v>
      </c>
      <c r="F232" s="138">
        <f t="shared" si="70"/>
        <v>989.425614</v>
      </c>
      <c r="G232" s="137">
        <f t="shared" si="76"/>
        <v>98942.56</v>
      </c>
      <c r="H232" s="137">
        <f t="shared" si="77"/>
        <v>4.7939661348417317E-2</v>
      </c>
      <c r="I232" s="139">
        <f t="shared" si="78"/>
        <v>1.0556696067951172</v>
      </c>
      <c r="J232" s="134">
        <f t="shared" si="71"/>
        <v>44743</v>
      </c>
      <c r="K232" s="130">
        <v>12.891999999999999</v>
      </c>
      <c r="L232" s="137">
        <f t="shared" si="66"/>
        <v>6.0000000000002274E-3</v>
      </c>
      <c r="M232" s="137">
        <f t="shared" si="67"/>
        <v>98946.95</v>
      </c>
      <c r="N232" s="127">
        <v>12.65</v>
      </c>
      <c r="O232" s="140">
        <f t="shared" si="79"/>
        <v>0.36000000000058208</v>
      </c>
      <c r="P232" s="137">
        <f t="shared" si="72"/>
        <v>98946.95</v>
      </c>
      <c r="Q232" s="137">
        <f t="shared" si="80"/>
        <v>4.7644166830207446E-2</v>
      </c>
      <c r="R232" s="139">
        <f t="shared" si="81"/>
        <v>1.055120804659184</v>
      </c>
      <c r="S232" s="169">
        <f t="shared" si="68"/>
        <v>5.7400000000001228E-2</v>
      </c>
      <c r="T232" s="157">
        <f t="shared" si="73"/>
        <v>-1.0999999999992127E-3</v>
      </c>
      <c r="U232" s="137">
        <f t="shared" si="74"/>
        <v>98942.56</v>
      </c>
      <c r="V232" s="137">
        <f t="shared" si="75"/>
        <v>98942.2</v>
      </c>
      <c r="W232" s="137">
        <f t="shared" si="82"/>
        <v>4.7575639452501761E-2</v>
      </c>
      <c r="X232" s="139">
        <f t="shared" si="83"/>
        <v>1.0757029933942284</v>
      </c>
      <c r="AA232" s="128">
        <v>12.949400000000001</v>
      </c>
      <c r="AB232" s="130">
        <v>12.891999999999999</v>
      </c>
      <c r="AC232" s="127">
        <v>12.65</v>
      </c>
    </row>
    <row r="233" spans="1:29" x14ac:dyDescent="0.3">
      <c r="A233" s="134">
        <v>44713</v>
      </c>
      <c r="B233" s="134">
        <v>44743</v>
      </c>
      <c r="C233" s="135">
        <f>NETWORKDAYS(A233,B233-1,Feriados!$A$2:$A$2000)</f>
        <v>21</v>
      </c>
      <c r="D233" s="128">
        <v>12.962999999999999</v>
      </c>
      <c r="E233" s="137">
        <f t="shared" si="69"/>
        <v>1.3599999999998502E-2</v>
      </c>
      <c r="F233" s="138">
        <f t="shared" si="70"/>
        <v>989.89390100000003</v>
      </c>
      <c r="G233" s="137">
        <f t="shared" si="76"/>
        <v>98989.39</v>
      </c>
      <c r="H233" s="137">
        <f t="shared" si="77"/>
        <v>4.7330491549857356E-2</v>
      </c>
      <c r="I233" s="139">
        <f t="shared" si="78"/>
        <v>1.0561692604091557</v>
      </c>
      <c r="J233" s="134">
        <f t="shared" si="71"/>
        <v>44743</v>
      </c>
      <c r="K233" s="130">
        <v>12.906000000000001</v>
      </c>
      <c r="L233" s="137">
        <f t="shared" si="66"/>
        <v>1.4000000000001123E-2</v>
      </c>
      <c r="M233" s="137">
        <f t="shared" si="67"/>
        <v>98993.55</v>
      </c>
      <c r="N233" s="127">
        <v>12.65</v>
      </c>
      <c r="O233" s="140">
        <f t="shared" si="79"/>
        <v>-0.17999999999301508</v>
      </c>
      <c r="P233" s="137">
        <f t="shared" si="72"/>
        <v>98993.55</v>
      </c>
      <c r="Q233" s="137">
        <f t="shared" si="80"/>
        <v>4.7095943836583665E-2</v>
      </c>
      <c r="R233" s="139">
        <f t="shared" si="81"/>
        <v>1.0556177237607545</v>
      </c>
      <c r="S233" s="169">
        <f t="shared" si="68"/>
        <v>5.6999999999998607E-2</v>
      </c>
      <c r="T233" s="157">
        <f t="shared" si="73"/>
        <v>-4.0000000000262048E-4</v>
      </c>
      <c r="U233" s="137">
        <f t="shared" si="74"/>
        <v>98989.39</v>
      </c>
      <c r="V233" s="137">
        <f t="shared" si="75"/>
        <v>98989.569999999992</v>
      </c>
      <c r="W233" s="137">
        <f t="shared" si="82"/>
        <v>4.7512415284178822E-2</v>
      </c>
      <c r="X233" s="139">
        <f t="shared" si="83"/>
        <v>1.0762140858676741</v>
      </c>
      <c r="AA233" s="128">
        <v>12.962999999999999</v>
      </c>
      <c r="AB233" s="130">
        <v>12.906000000000001</v>
      </c>
      <c r="AC233" s="127">
        <v>12.65</v>
      </c>
    </row>
    <row r="234" spans="1:29" x14ac:dyDescent="0.3">
      <c r="A234" s="134">
        <v>44714</v>
      </c>
      <c r="B234" s="134">
        <v>44743</v>
      </c>
      <c r="C234" s="135">
        <f>NETWORKDAYS(A234,B234-1,Feriados!$A$2:$A$2000)</f>
        <v>20</v>
      </c>
      <c r="D234" s="128">
        <v>12.9871</v>
      </c>
      <c r="E234" s="137">
        <f t="shared" si="69"/>
        <v>2.4100000000000676E-2</v>
      </c>
      <c r="F234" s="138">
        <f t="shared" si="70"/>
        <v>990.35605199999998</v>
      </c>
      <c r="G234" s="137">
        <f t="shared" si="76"/>
        <v>99035.61</v>
      </c>
      <c r="H234" s="137">
        <f t="shared" si="77"/>
        <v>4.66918727350496E-2</v>
      </c>
      <c r="I234" s="139">
        <f t="shared" si="78"/>
        <v>1.0566624056160927</v>
      </c>
      <c r="J234" s="134">
        <f t="shared" si="71"/>
        <v>44743</v>
      </c>
      <c r="K234" s="130">
        <v>12.93</v>
      </c>
      <c r="L234" s="137">
        <f t="shared" si="66"/>
        <v>2.3999999999999133E-2</v>
      </c>
      <c r="M234" s="137">
        <f t="shared" si="67"/>
        <v>99039.58</v>
      </c>
      <c r="N234" s="127">
        <v>12.65</v>
      </c>
      <c r="O234" s="140">
        <f t="shared" si="79"/>
        <v>-0.77000000000407454</v>
      </c>
      <c r="P234" s="137">
        <f t="shared" si="72"/>
        <v>99039.58</v>
      </c>
      <c r="Q234" s="137">
        <f t="shared" si="80"/>
        <v>4.6497978908721649E-2</v>
      </c>
      <c r="R234" s="139">
        <f t="shared" si="81"/>
        <v>1.0561085646673054</v>
      </c>
      <c r="S234" s="169">
        <f t="shared" si="68"/>
        <v>5.7100000000000151E-2</v>
      </c>
      <c r="T234" s="157">
        <f t="shared" si="73"/>
        <v>1.000000000015433E-4</v>
      </c>
      <c r="U234" s="137">
        <f t="shared" si="74"/>
        <v>99035.61</v>
      </c>
      <c r="V234" s="137">
        <f t="shared" si="75"/>
        <v>99036.38</v>
      </c>
      <c r="W234" s="137">
        <f t="shared" si="82"/>
        <v>4.7469733877547604E-2</v>
      </c>
      <c r="X234" s="139">
        <f t="shared" si="83"/>
        <v>1.0767249618301882</v>
      </c>
      <c r="AA234" s="128">
        <v>12.9871</v>
      </c>
      <c r="AB234" s="130">
        <v>12.93</v>
      </c>
      <c r="AC234" s="127">
        <v>12.65</v>
      </c>
    </row>
    <row r="235" spans="1:29" x14ac:dyDescent="0.3">
      <c r="A235" s="134">
        <v>44715</v>
      </c>
      <c r="B235" s="134">
        <v>44743</v>
      </c>
      <c r="C235" s="135">
        <f>NETWORKDAYS(A235,B235-1,Feriados!$A$2:$A$2000)</f>
        <v>19</v>
      </c>
      <c r="D235" s="128">
        <v>12.993600000000001</v>
      </c>
      <c r="E235" s="137">
        <f t="shared" si="69"/>
        <v>6.5000000000008384E-3</v>
      </c>
      <c r="F235" s="138">
        <f t="shared" si="70"/>
        <v>990.83173599999998</v>
      </c>
      <c r="G235" s="137">
        <f t="shared" si="76"/>
        <v>99083.17</v>
      </c>
      <c r="H235" s="137">
        <f t="shared" si="77"/>
        <v>4.8023130265972824E-2</v>
      </c>
      <c r="I235" s="139">
        <f t="shared" si="78"/>
        <v>1.0571698479796132</v>
      </c>
      <c r="J235" s="134">
        <f t="shared" si="71"/>
        <v>44743</v>
      </c>
      <c r="K235" s="130">
        <v>12.936</v>
      </c>
      <c r="L235" s="137">
        <f t="shared" si="66"/>
        <v>6.0000000000002274E-3</v>
      </c>
      <c r="M235" s="137">
        <f t="shared" si="67"/>
        <v>99086.98</v>
      </c>
      <c r="N235" s="127">
        <v>12.65</v>
      </c>
      <c r="O235" s="140">
        <f t="shared" si="79"/>
        <v>0.569999999992433</v>
      </c>
      <c r="P235" s="137">
        <f t="shared" si="72"/>
        <v>99086.98</v>
      </c>
      <c r="Q235" s="137">
        <f t="shared" si="80"/>
        <v>4.7859653685922154E-2</v>
      </c>
      <c r="R235" s="139">
        <f t="shared" si="81"/>
        <v>1.0566140145689025</v>
      </c>
      <c r="S235" s="169">
        <f t="shared" si="68"/>
        <v>5.7600000000000762E-2</v>
      </c>
      <c r="T235" s="157">
        <f t="shared" si="73"/>
        <v>5.0000000000061107E-4</v>
      </c>
      <c r="U235" s="137">
        <f t="shared" si="74"/>
        <v>99083.17</v>
      </c>
      <c r="V235" s="137">
        <f t="shared" si="75"/>
        <v>99082.6</v>
      </c>
      <c r="W235" s="137">
        <f t="shared" si="82"/>
        <v>4.7447579713999488E-2</v>
      </c>
      <c r="X235" s="139">
        <f t="shared" si="83"/>
        <v>1.0772358417647532</v>
      </c>
      <c r="AA235" s="128">
        <v>12.993600000000001</v>
      </c>
      <c r="AB235" s="130">
        <v>12.936</v>
      </c>
      <c r="AC235" s="127">
        <v>12.65</v>
      </c>
    </row>
    <row r="236" spans="1:29" x14ac:dyDescent="0.3">
      <c r="A236" s="134">
        <v>44718</v>
      </c>
      <c r="B236" s="134">
        <v>44743</v>
      </c>
      <c r="C236" s="135">
        <f>NETWORKDAYS(A236,B236-1,Feriados!$A$2:$A$2000)</f>
        <v>18</v>
      </c>
      <c r="D236" s="128">
        <v>13.016299999999999</v>
      </c>
      <c r="E236" s="137">
        <f t="shared" si="69"/>
        <v>2.269999999999861E-2</v>
      </c>
      <c r="F236" s="138">
        <f t="shared" si="70"/>
        <v>991.29795000000001</v>
      </c>
      <c r="G236" s="137">
        <f t="shared" si="76"/>
        <v>99129.8</v>
      </c>
      <c r="H236" s="137">
        <f t="shared" si="77"/>
        <v>4.706147370940883E-2</v>
      </c>
      <c r="I236" s="139">
        <f t="shared" si="78"/>
        <v>1.0576673676896839</v>
      </c>
      <c r="J236" s="134">
        <f t="shared" si="71"/>
        <v>44743</v>
      </c>
      <c r="K236" s="130">
        <v>12.958</v>
      </c>
      <c r="L236" s="137">
        <f t="shared" si="66"/>
        <v>2.2000000000000242E-2</v>
      </c>
      <c r="M236" s="137">
        <f t="shared" si="67"/>
        <v>99133.45</v>
      </c>
      <c r="N236" s="127">
        <v>12.65</v>
      </c>
      <c r="O236" s="140">
        <f t="shared" si="79"/>
        <v>-0.38000000000465661</v>
      </c>
      <c r="P236" s="137">
        <f t="shared" si="72"/>
        <v>99133.45</v>
      </c>
      <c r="Q236" s="137">
        <f t="shared" si="80"/>
        <v>4.6898189852995209E-2</v>
      </c>
      <c r="R236" s="139">
        <f t="shared" si="81"/>
        <v>1.0571095474154684</v>
      </c>
      <c r="S236" s="169">
        <f t="shared" si="68"/>
        <v>5.829999999999913E-2</v>
      </c>
      <c r="T236" s="157">
        <f t="shared" si="73"/>
        <v>6.9999999999836859E-4</v>
      </c>
      <c r="U236" s="137">
        <f t="shared" si="74"/>
        <v>99129.8</v>
      </c>
      <c r="V236" s="137">
        <f t="shared" si="75"/>
        <v>99130.180000000008</v>
      </c>
      <c r="W236" s="137">
        <f t="shared" si="82"/>
        <v>4.7444989900924384E-2</v>
      </c>
      <c r="X236" s="139">
        <f t="shared" si="83"/>
        <v>1.0777469362010876</v>
      </c>
      <c r="AA236" s="128">
        <v>13.016299999999999</v>
      </c>
      <c r="AB236" s="130">
        <v>12.958</v>
      </c>
      <c r="AC236" s="127">
        <v>12.65</v>
      </c>
    </row>
    <row r="237" spans="1:29" x14ac:dyDescent="0.3">
      <c r="A237" s="134">
        <v>44719</v>
      </c>
      <c r="B237" s="134">
        <v>44743</v>
      </c>
      <c r="C237" s="135">
        <f>NETWORKDAYS(A237,B237-1,Feriados!$A$2:$A$2000)</f>
        <v>17</v>
      </c>
      <c r="D237" s="128">
        <v>13.0388</v>
      </c>
      <c r="E237" s="137">
        <f t="shared" si="69"/>
        <v>2.2500000000000853E-2</v>
      </c>
      <c r="F237" s="138">
        <f t="shared" si="70"/>
        <v>991.76608599999997</v>
      </c>
      <c r="G237" s="137">
        <f t="shared" si="76"/>
        <v>99176.61</v>
      </c>
      <c r="H237" s="137">
        <f t="shared" si="77"/>
        <v>4.722091641464754E-2</v>
      </c>
      <c r="I237" s="139">
        <f t="shared" si="78"/>
        <v>1.0581668079133257</v>
      </c>
      <c r="J237" s="134">
        <f t="shared" si="71"/>
        <v>44743</v>
      </c>
      <c r="K237" s="130">
        <v>12.981999999999999</v>
      </c>
      <c r="L237" s="137">
        <f t="shared" si="66"/>
        <v>2.3999999999999133E-2</v>
      </c>
      <c r="M237" s="137">
        <f t="shared" si="67"/>
        <v>99179.97</v>
      </c>
      <c r="N237" s="127">
        <v>12.65</v>
      </c>
      <c r="O237" s="140">
        <f t="shared" si="79"/>
        <v>-0.35000000000582077</v>
      </c>
      <c r="P237" s="137">
        <f t="shared" si="72"/>
        <v>99179.97</v>
      </c>
      <c r="Q237" s="137">
        <f t="shared" si="80"/>
        <v>4.6926642823397202E-2</v>
      </c>
      <c r="R237" s="139">
        <f t="shared" si="81"/>
        <v>1.057605613437036</v>
      </c>
      <c r="S237" s="169">
        <f t="shared" si="68"/>
        <v>5.680000000000085E-2</v>
      </c>
      <c r="T237" s="157">
        <f t="shared" si="73"/>
        <v>-1.4999999999982805E-3</v>
      </c>
      <c r="U237" s="137">
        <f t="shared" si="74"/>
        <v>99176.61</v>
      </c>
      <c r="V237" s="137">
        <f t="shared" si="75"/>
        <v>99176.960000000006</v>
      </c>
      <c r="W237" s="137">
        <f t="shared" si="82"/>
        <v>4.7573988850979632E-2</v>
      </c>
      <c r="X237" s="139">
        <f t="shared" si="83"/>
        <v>1.0782596634083577</v>
      </c>
      <c r="AA237" s="128">
        <v>13.0388</v>
      </c>
      <c r="AB237" s="130">
        <v>12.981999999999999</v>
      </c>
      <c r="AC237" s="127">
        <v>12.65</v>
      </c>
    </row>
    <row r="238" spans="1:29" x14ac:dyDescent="0.3">
      <c r="A238" s="134">
        <v>44720</v>
      </c>
      <c r="B238" s="134">
        <v>44743</v>
      </c>
      <c r="C238" s="135">
        <f>NETWORKDAYS(A238,B238-1,Feriados!$A$2:$A$2000)</f>
        <v>16</v>
      </c>
      <c r="D238" s="128">
        <v>13.0526</v>
      </c>
      <c r="E238" s="137">
        <f t="shared" si="69"/>
        <v>1.3799999999999812E-2</v>
      </c>
      <c r="F238" s="138">
        <f t="shared" si="70"/>
        <v>992.240861</v>
      </c>
      <c r="G238" s="137">
        <f t="shared" si="76"/>
        <v>99224.09</v>
      </c>
      <c r="H238" s="137">
        <f t="shared" si="77"/>
        <v>4.7874191303765024E-2</v>
      </c>
      <c r="I238" s="139">
        <f t="shared" si="78"/>
        <v>1.0586733967152591</v>
      </c>
      <c r="J238" s="134">
        <f t="shared" si="71"/>
        <v>44743</v>
      </c>
      <c r="K238" s="130">
        <v>12.996</v>
      </c>
      <c r="L238" s="137">
        <f t="shared" si="66"/>
        <v>1.4000000000001123E-2</v>
      </c>
      <c r="M238" s="137">
        <f t="shared" si="67"/>
        <v>99227.24</v>
      </c>
      <c r="N238" s="127">
        <v>12.65</v>
      </c>
      <c r="O238" s="140">
        <f t="shared" si="79"/>
        <v>0.38000000000465661</v>
      </c>
      <c r="P238" s="137">
        <f t="shared" si="72"/>
        <v>99227.24</v>
      </c>
      <c r="Q238" s="137">
        <f t="shared" si="80"/>
        <v>4.7660833129925528E-2</v>
      </c>
      <c r="R238" s="139">
        <f t="shared" si="81"/>
        <v>1.0581096770836289</v>
      </c>
      <c r="S238" s="169">
        <f t="shared" si="68"/>
        <v>5.659999999999954E-2</v>
      </c>
      <c r="T238" s="157">
        <f t="shared" si="73"/>
        <v>-2.0000000000131024E-4</v>
      </c>
      <c r="U238" s="137">
        <f t="shared" si="74"/>
        <v>99224.09</v>
      </c>
      <c r="V238" s="137">
        <f t="shared" si="75"/>
        <v>99223.709999999992</v>
      </c>
      <c r="W238" s="137">
        <f t="shared" si="82"/>
        <v>4.7491036444968771E-2</v>
      </c>
      <c r="X238" s="139">
        <f t="shared" si="83"/>
        <v>1.0787717400980783</v>
      </c>
      <c r="AA238" s="128">
        <v>13.0526</v>
      </c>
      <c r="AB238" s="130">
        <v>12.996</v>
      </c>
      <c r="AC238" s="127">
        <v>12.65</v>
      </c>
    </row>
    <row r="239" spans="1:29" x14ac:dyDescent="0.3">
      <c r="A239" s="134">
        <v>44721</v>
      </c>
      <c r="B239" s="134">
        <v>44743</v>
      </c>
      <c r="C239" s="135">
        <f>NETWORKDAYS(A239,B239-1,Feriados!$A$2:$A$2000)</f>
        <v>15</v>
      </c>
      <c r="D239" s="128">
        <v>13.053599999999999</v>
      </c>
      <c r="E239" s="137">
        <f t="shared" si="69"/>
        <v>9.9999999999944578E-4</v>
      </c>
      <c r="F239" s="138">
        <f t="shared" si="70"/>
        <v>992.72351600000002</v>
      </c>
      <c r="G239" s="137">
        <f t="shared" si="76"/>
        <v>99272.35</v>
      </c>
      <c r="H239" s="137">
        <f t="shared" si="77"/>
        <v>4.8637382313110322E-2</v>
      </c>
      <c r="I239" s="139">
        <f t="shared" si="78"/>
        <v>1.0591883077426667</v>
      </c>
      <c r="J239" s="134">
        <f t="shared" si="71"/>
        <v>44743</v>
      </c>
      <c r="K239" s="130">
        <v>12.996</v>
      </c>
      <c r="L239" s="137">
        <f t="shared" si="66"/>
        <v>0</v>
      </c>
      <c r="M239" s="137">
        <f t="shared" si="67"/>
        <v>99275.36</v>
      </c>
      <c r="N239" s="127">
        <v>12.65</v>
      </c>
      <c r="O239" s="140">
        <f t="shared" si="79"/>
        <v>1.2100000000064028</v>
      </c>
      <c r="P239" s="137">
        <f t="shared" si="72"/>
        <v>99275.36</v>
      </c>
      <c r="Q239" s="137">
        <f t="shared" si="80"/>
        <v>4.8494748014760169E-2</v>
      </c>
      <c r="R239" s="139">
        <f t="shared" si="81"/>
        <v>1.0586228047052504</v>
      </c>
      <c r="S239" s="169">
        <f t="shared" si="68"/>
        <v>5.7599999999998985E-2</v>
      </c>
      <c r="T239" s="157">
        <f t="shared" si="73"/>
        <v>9.9999999999944578E-4</v>
      </c>
      <c r="U239" s="137">
        <f t="shared" si="74"/>
        <v>99272.35</v>
      </c>
      <c r="V239" s="137">
        <f t="shared" si="75"/>
        <v>99271.14</v>
      </c>
      <c r="W239" s="137">
        <f t="shared" si="82"/>
        <v>4.741792038607251E-2</v>
      </c>
      <c r="X239" s="139">
        <f t="shared" si="83"/>
        <v>1.0792832712229454</v>
      </c>
      <c r="AA239" s="128">
        <v>13.053599999999999</v>
      </c>
      <c r="AB239" s="130">
        <v>12.996</v>
      </c>
      <c r="AC239" s="127">
        <v>12.65</v>
      </c>
    </row>
    <row r="240" spans="1:29" x14ac:dyDescent="0.3">
      <c r="A240" s="134">
        <v>44722</v>
      </c>
      <c r="B240" s="134">
        <v>44743</v>
      </c>
      <c r="C240" s="135">
        <f>NETWORKDAYS(A240,B240-1,Feriados!$A$2:$A$2000)</f>
        <v>14</v>
      </c>
      <c r="D240" s="128">
        <v>13.0893</v>
      </c>
      <c r="E240" s="137">
        <f t="shared" si="69"/>
        <v>3.5700000000000287E-2</v>
      </c>
      <c r="F240" s="138">
        <f t="shared" si="70"/>
        <v>993.18954199999996</v>
      </c>
      <c r="G240" s="137">
        <f t="shared" si="76"/>
        <v>99318.95</v>
      </c>
      <c r="H240" s="137">
        <f t="shared" si="77"/>
        <v>4.6941570336556104E-2</v>
      </c>
      <c r="I240" s="139">
        <f t="shared" si="78"/>
        <v>1.0596855073671423</v>
      </c>
      <c r="J240" s="134">
        <f t="shared" si="71"/>
        <v>44743</v>
      </c>
      <c r="K240" s="130">
        <v>13.032</v>
      </c>
      <c r="L240" s="137">
        <f t="shared" si="66"/>
        <v>3.5999999999999588E-2</v>
      </c>
      <c r="M240" s="137">
        <f t="shared" si="67"/>
        <v>99321.75</v>
      </c>
      <c r="N240" s="127">
        <v>12.65</v>
      </c>
      <c r="O240" s="140">
        <f t="shared" si="79"/>
        <v>-0.55000000000291038</v>
      </c>
      <c r="P240" s="137">
        <f t="shared" si="72"/>
        <v>99321.75</v>
      </c>
      <c r="Q240" s="137">
        <f t="shared" si="80"/>
        <v>4.6728614230162613E-2</v>
      </c>
      <c r="R240" s="139">
        <f t="shared" si="81"/>
        <v>1.0591174844718136</v>
      </c>
      <c r="S240" s="169">
        <f t="shared" si="68"/>
        <v>5.7299999999999685E-2</v>
      </c>
      <c r="T240" s="157">
        <f t="shared" si="73"/>
        <v>-2.9999999999930083E-4</v>
      </c>
      <c r="U240" s="137">
        <f t="shared" si="74"/>
        <v>99318.95</v>
      </c>
      <c r="V240" s="137">
        <f t="shared" si="75"/>
        <v>99319.5</v>
      </c>
      <c r="W240" s="137">
        <f t="shared" si="82"/>
        <v>4.7495601746105898E-2</v>
      </c>
      <c r="X240" s="139">
        <f t="shared" si="83"/>
        <v>1.0797958833071579</v>
      </c>
      <c r="AA240" s="128">
        <v>13.0893</v>
      </c>
      <c r="AB240" s="130">
        <v>13.032</v>
      </c>
      <c r="AC240" s="127">
        <v>12.65</v>
      </c>
    </row>
    <row r="241" spans="1:29" x14ac:dyDescent="0.3">
      <c r="A241" s="134">
        <v>44725</v>
      </c>
      <c r="B241" s="134">
        <v>44743</v>
      </c>
      <c r="C241" s="135">
        <f>NETWORKDAYS(A241,B241-1,Feriados!$A$2:$A$2000)</f>
        <v>13</v>
      </c>
      <c r="D241" s="128">
        <v>13.1226</v>
      </c>
      <c r="E241" s="137">
        <f t="shared" si="69"/>
        <v>3.3300000000000551E-2</v>
      </c>
      <c r="F241" s="138">
        <f t="shared" si="70"/>
        <v>993.65936899999997</v>
      </c>
      <c r="G241" s="137">
        <f t="shared" si="76"/>
        <v>99365.94</v>
      </c>
      <c r="H241" s="137">
        <f t="shared" si="77"/>
        <v>4.7312219873463235E-2</v>
      </c>
      <c r="I241" s="139">
        <f t="shared" si="78"/>
        <v>1.0601868681043551</v>
      </c>
      <c r="J241" s="134">
        <f t="shared" si="71"/>
        <v>44743</v>
      </c>
      <c r="K241" s="130">
        <v>13.068</v>
      </c>
      <c r="L241" s="137">
        <f t="shared" si="66"/>
        <v>3.5999999999999588E-2</v>
      </c>
      <c r="M241" s="137">
        <f t="shared" si="67"/>
        <v>99368.41</v>
      </c>
      <c r="N241" s="127">
        <v>12.65</v>
      </c>
      <c r="O241" s="140">
        <f t="shared" si="79"/>
        <v>-0.30000000000291038</v>
      </c>
      <c r="P241" s="137">
        <f t="shared" si="72"/>
        <v>99368.41</v>
      </c>
      <c r="Q241" s="137">
        <f t="shared" si="80"/>
        <v>4.6978632575456203E-2</v>
      </c>
      <c r="R241" s="139">
        <f t="shared" si="81"/>
        <v>1.059615043383386</v>
      </c>
      <c r="S241" s="169">
        <f t="shared" si="68"/>
        <v>5.4600000000000648E-2</v>
      </c>
      <c r="T241" s="157">
        <f t="shared" si="73"/>
        <v>-2.6999999999990365E-3</v>
      </c>
      <c r="U241" s="137">
        <f t="shared" si="74"/>
        <v>99365.94</v>
      </c>
      <c r="V241" s="137">
        <f t="shared" si="75"/>
        <v>99366.24</v>
      </c>
      <c r="W241" s="137">
        <f t="shared" si="82"/>
        <v>4.7614277033747321E-2</v>
      </c>
      <c r="X241" s="139">
        <f t="shared" si="83"/>
        <v>1.0803100203104348</v>
      </c>
      <c r="AA241" s="128">
        <v>13.1226</v>
      </c>
      <c r="AB241" s="130">
        <v>13.068</v>
      </c>
      <c r="AC241" s="127">
        <v>12.65</v>
      </c>
    </row>
    <row r="242" spans="1:29" x14ac:dyDescent="0.3">
      <c r="A242" s="134">
        <v>44726</v>
      </c>
      <c r="B242" s="134">
        <v>44743</v>
      </c>
      <c r="C242" s="135">
        <f>NETWORKDAYS(A242,B242-1,Feriados!$A$2:$A$2000)</f>
        <v>12</v>
      </c>
      <c r="D242" s="128">
        <v>13.1866</v>
      </c>
      <c r="E242" s="137">
        <f t="shared" si="69"/>
        <v>6.4000000000000057E-2</v>
      </c>
      <c r="F242" s="138">
        <f t="shared" si="70"/>
        <v>994.11890400000004</v>
      </c>
      <c r="G242" s="137">
        <f t="shared" si="76"/>
        <v>99411.89</v>
      </c>
      <c r="H242" s="137">
        <f t="shared" si="77"/>
        <v>4.6243209695395748E-2</v>
      </c>
      <c r="I242" s="139">
        <f t="shared" si="78"/>
        <v>1.0606771325409357</v>
      </c>
      <c r="J242" s="134">
        <f t="shared" si="71"/>
        <v>44743</v>
      </c>
      <c r="K242" s="130">
        <v>13.13</v>
      </c>
      <c r="L242" s="137">
        <f t="shared" si="66"/>
        <v>6.2000000000001165E-2</v>
      </c>
      <c r="M242" s="137">
        <f t="shared" si="67"/>
        <v>99414.26</v>
      </c>
      <c r="N242" s="127">
        <v>12.65</v>
      </c>
      <c r="O242" s="140">
        <f t="shared" si="79"/>
        <v>-1.1300000000046566</v>
      </c>
      <c r="P242" s="137">
        <f t="shared" si="72"/>
        <v>99414.26</v>
      </c>
      <c r="Q242" s="137">
        <f t="shared" si="80"/>
        <v>4.6141424623780125E-2</v>
      </c>
      <c r="R242" s="139">
        <f t="shared" si="81"/>
        <v>1.0601039648599309</v>
      </c>
      <c r="S242" s="169">
        <f t="shared" si="68"/>
        <v>5.659999999999954E-2</v>
      </c>
      <c r="T242" s="157">
        <f t="shared" si="73"/>
        <v>1.9999999999988916E-3</v>
      </c>
      <c r="U242" s="137">
        <f t="shared" si="74"/>
        <v>99411.89</v>
      </c>
      <c r="V242" s="137">
        <f t="shared" si="75"/>
        <v>99413.02</v>
      </c>
      <c r="W242" s="137">
        <f t="shared" si="82"/>
        <v>4.7380420292908454E-2</v>
      </c>
      <c r="X242" s="139">
        <f t="shared" si="83"/>
        <v>1.0808218757385242</v>
      </c>
      <c r="AA242" s="128">
        <v>13.1866</v>
      </c>
      <c r="AB242" s="130">
        <v>13.13</v>
      </c>
      <c r="AC242" s="127">
        <v>12.65</v>
      </c>
    </row>
    <row r="243" spans="1:29" x14ac:dyDescent="0.3">
      <c r="A243" s="134">
        <v>44727</v>
      </c>
      <c r="B243" s="134">
        <v>44743</v>
      </c>
      <c r="C243" s="135">
        <f>NETWORKDAYS(A243,B243-1,Feriados!$A$2:$A$2000)</f>
        <v>11</v>
      </c>
      <c r="D243" s="128">
        <v>13.2051</v>
      </c>
      <c r="E243" s="137">
        <f t="shared" si="69"/>
        <v>1.8499999999999517E-2</v>
      </c>
      <c r="F243" s="138">
        <f t="shared" si="70"/>
        <v>994.60057600000005</v>
      </c>
      <c r="G243" s="137">
        <f t="shared" si="76"/>
        <v>99460.06</v>
      </c>
      <c r="H243" s="137">
        <f t="shared" si="77"/>
        <v>4.8454968515332375E-2</v>
      </c>
      <c r="I243" s="139">
        <f t="shared" si="78"/>
        <v>1.0611910833115576</v>
      </c>
      <c r="J243" s="134">
        <f t="shared" si="71"/>
        <v>44743</v>
      </c>
      <c r="K243" s="130">
        <v>13.15</v>
      </c>
      <c r="L243" s="137">
        <f t="shared" si="66"/>
        <v>1.9999999999999574E-2</v>
      </c>
      <c r="M243" s="137">
        <f t="shared" si="67"/>
        <v>99462.17</v>
      </c>
      <c r="N243" s="127">
        <v>12.65</v>
      </c>
      <c r="O243" s="140">
        <f t="shared" si="79"/>
        <v>0.91000000000349246</v>
      </c>
      <c r="P243" s="137">
        <f t="shared" si="72"/>
        <v>99462.17</v>
      </c>
      <c r="Q243" s="137">
        <f t="shared" si="80"/>
        <v>4.8192281469483511E-2</v>
      </c>
      <c r="R243" s="139">
        <f t="shared" si="81"/>
        <v>1.0606148531465454</v>
      </c>
      <c r="S243" s="169">
        <f t="shared" si="68"/>
        <v>5.5099999999999483E-2</v>
      </c>
      <c r="T243" s="157">
        <f t="shared" si="73"/>
        <v>-1.5000000000000568E-3</v>
      </c>
      <c r="U243" s="137">
        <f t="shared" si="74"/>
        <v>99460.06</v>
      </c>
      <c r="V243" s="137">
        <f t="shared" si="75"/>
        <v>99459.15</v>
      </c>
      <c r="W243" s="137">
        <f t="shared" si="82"/>
        <v>4.7539585053657518E-2</v>
      </c>
      <c r="X243" s="139">
        <f t="shared" si="83"/>
        <v>1.0813356939734193</v>
      </c>
      <c r="AA243" s="128">
        <v>13.2051</v>
      </c>
      <c r="AB243" s="130">
        <v>13.15</v>
      </c>
      <c r="AC243" s="127">
        <v>12.65</v>
      </c>
    </row>
    <row r="244" spans="1:29" x14ac:dyDescent="0.3">
      <c r="A244" s="134">
        <v>44729</v>
      </c>
      <c r="B244" s="134">
        <v>44743</v>
      </c>
      <c r="C244" s="135">
        <f>NETWORKDAYS(A244,B244-1,Feriados!$A$2:$A$2000)</f>
        <v>10</v>
      </c>
      <c r="D244" s="128">
        <v>13.207599999999999</v>
      </c>
      <c r="E244" s="137">
        <f t="shared" si="69"/>
        <v>2.4999999999995026E-3</v>
      </c>
      <c r="F244" s="138">
        <f t="shared" si="70"/>
        <v>995.08935399999996</v>
      </c>
      <c r="G244" s="137">
        <f t="shared" si="76"/>
        <v>99508.94</v>
      </c>
      <c r="H244" s="137">
        <f t="shared" si="77"/>
        <v>4.9145355432123061E-2</v>
      </c>
      <c r="I244" s="139">
        <f t="shared" si="78"/>
        <v>1.0617126094412652</v>
      </c>
      <c r="J244" s="134">
        <f t="shared" si="71"/>
        <v>44743</v>
      </c>
      <c r="K244" s="130">
        <v>13.151999999999999</v>
      </c>
      <c r="L244" s="137">
        <f t="shared" si="66"/>
        <v>1.9999999999988916E-3</v>
      </c>
      <c r="M244" s="137">
        <f t="shared" si="67"/>
        <v>99510.88</v>
      </c>
      <c r="N244" s="127">
        <v>12.65</v>
      </c>
      <c r="O244" s="140">
        <f t="shared" si="79"/>
        <v>1.6900000000023283</v>
      </c>
      <c r="P244" s="137">
        <f t="shared" si="72"/>
        <v>99510.88</v>
      </c>
      <c r="Q244" s="137">
        <f t="shared" si="80"/>
        <v>4.8973393602813609E-2</v>
      </c>
      <c r="R244" s="139">
        <f t="shared" si="81"/>
        <v>1.0611342722331867</v>
      </c>
      <c r="S244" s="169">
        <f t="shared" si="68"/>
        <v>5.5600000000000094E-2</v>
      </c>
      <c r="T244" s="157">
        <f t="shared" si="73"/>
        <v>5.0000000000061107E-4</v>
      </c>
      <c r="U244" s="137">
        <f t="shared" si="74"/>
        <v>99508.94</v>
      </c>
      <c r="V244" s="137">
        <f t="shared" si="75"/>
        <v>99507.25</v>
      </c>
      <c r="W244" s="137">
        <f t="shared" si="82"/>
        <v>4.7446180909194169E-2</v>
      </c>
      <c r="X244" s="139">
        <f t="shared" si="83"/>
        <v>1.0818487464630175</v>
      </c>
      <c r="AA244" s="128">
        <v>13.207599999999999</v>
      </c>
      <c r="AB244" s="130">
        <v>13.151999999999999</v>
      </c>
      <c r="AC244" s="127">
        <v>12.65</v>
      </c>
    </row>
    <row r="245" spans="1:29" x14ac:dyDescent="0.3">
      <c r="A245" s="134">
        <v>44732</v>
      </c>
      <c r="B245" s="134">
        <v>44743</v>
      </c>
      <c r="C245" s="135">
        <f>NETWORKDAYS(A245,B245-1,Feriados!$A$2:$A$2000)</f>
        <v>9</v>
      </c>
      <c r="D245" s="128">
        <v>13.207000000000001</v>
      </c>
      <c r="E245" s="137">
        <f t="shared" si="69"/>
        <v>-5.9999999999860165E-4</v>
      </c>
      <c r="F245" s="138">
        <f t="shared" si="70"/>
        <v>995.57952</v>
      </c>
      <c r="G245" s="137">
        <f t="shared" si="76"/>
        <v>99557.95</v>
      </c>
      <c r="H245" s="137">
        <f t="shared" si="77"/>
        <v>4.9251856164866936E-2</v>
      </c>
      <c r="I245" s="139">
        <f t="shared" si="78"/>
        <v>1.0622355226085516</v>
      </c>
      <c r="J245" s="134">
        <f t="shared" si="71"/>
        <v>44743</v>
      </c>
      <c r="K245" s="130">
        <v>13.151999999999999</v>
      </c>
      <c r="L245" s="137">
        <f t="shared" si="66"/>
        <v>0</v>
      </c>
      <c r="M245" s="137">
        <f t="shared" si="67"/>
        <v>99559.679999999993</v>
      </c>
      <c r="N245" s="127">
        <v>13.15</v>
      </c>
      <c r="O245" s="140">
        <f t="shared" si="79"/>
        <v>1.75</v>
      </c>
      <c r="P245" s="137">
        <f t="shared" si="72"/>
        <v>99559.679999999993</v>
      </c>
      <c r="Q245" s="137">
        <f t="shared" si="80"/>
        <v>4.9039863781707993E-2</v>
      </c>
      <c r="R245" s="139">
        <f t="shared" si="81"/>
        <v>1.0616546510348308</v>
      </c>
      <c r="S245" s="169">
        <f t="shared" si="68"/>
        <v>5.5000000000001492E-2</v>
      </c>
      <c r="T245" s="157">
        <f t="shared" si="73"/>
        <v>-5.9999999999860165E-4</v>
      </c>
      <c r="U245" s="137">
        <f t="shared" si="74"/>
        <v>99557.95</v>
      </c>
      <c r="V245" s="137">
        <f t="shared" si="75"/>
        <v>99556.2</v>
      </c>
      <c r="W245" s="137">
        <f t="shared" si="82"/>
        <v>4.7493220207139863E-2</v>
      </c>
      <c r="X245" s="139">
        <f t="shared" si="83"/>
        <v>1.0823625512704833</v>
      </c>
      <c r="AA245" s="128">
        <v>13.207000000000001</v>
      </c>
      <c r="AB245" s="130">
        <v>13.151999999999999</v>
      </c>
      <c r="AC245" s="127">
        <v>13.15</v>
      </c>
    </row>
    <row r="246" spans="1:29" x14ac:dyDescent="0.3">
      <c r="A246" s="134">
        <v>44733</v>
      </c>
      <c r="B246" s="134">
        <v>44743</v>
      </c>
      <c r="C246" s="135">
        <f>NETWORKDAYS(A246,B246-1,Feriados!$A$2:$A$2000)</f>
        <v>8</v>
      </c>
      <c r="D246" s="128">
        <v>13.207000000000001</v>
      </c>
      <c r="E246" s="137">
        <f t="shared" si="69"/>
        <v>0</v>
      </c>
      <c r="F246" s="138">
        <f t="shared" si="70"/>
        <v>996.06971699999997</v>
      </c>
      <c r="G246" s="137">
        <f t="shared" si="76"/>
        <v>99606.97</v>
      </c>
      <c r="H246" s="137">
        <f t="shared" si="77"/>
        <v>4.9237655054179541E-2</v>
      </c>
      <c r="I246" s="139">
        <f t="shared" si="78"/>
        <v>1.0627585424710366</v>
      </c>
      <c r="J246" s="134">
        <f t="shared" si="71"/>
        <v>44743</v>
      </c>
      <c r="K246" s="130">
        <v>13.151999999999999</v>
      </c>
      <c r="L246" s="137">
        <f t="shared" si="66"/>
        <v>0</v>
      </c>
      <c r="M246" s="137">
        <f t="shared" si="67"/>
        <v>99608.51</v>
      </c>
      <c r="N246" s="127">
        <v>13.15</v>
      </c>
      <c r="O246" s="140">
        <f t="shared" si="79"/>
        <v>9.9999999947613105E-3</v>
      </c>
      <c r="P246" s="137">
        <f t="shared" si="72"/>
        <v>99608.51</v>
      </c>
      <c r="Q246" s="137">
        <f t="shared" si="80"/>
        <v>4.9045959167415276E-2</v>
      </c>
      <c r="R246" s="139">
        <f t="shared" si="81"/>
        <v>1.0621753497414763</v>
      </c>
      <c r="S246" s="169">
        <f t="shared" si="68"/>
        <v>5.5000000000001492E-2</v>
      </c>
      <c r="T246" s="157">
        <f t="shared" si="73"/>
        <v>0</v>
      </c>
      <c r="U246" s="137">
        <f t="shared" si="74"/>
        <v>99606.97</v>
      </c>
      <c r="V246" s="137">
        <f t="shared" si="75"/>
        <v>99606.96</v>
      </c>
      <c r="W246" s="137">
        <f t="shared" si="82"/>
        <v>4.9227610652891052E-2</v>
      </c>
      <c r="X246" s="139">
        <f t="shared" si="83"/>
        <v>1.0828953724930754</v>
      </c>
      <c r="AA246" s="128">
        <v>13.207000000000001</v>
      </c>
      <c r="AB246" s="130">
        <v>13.151999999999999</v>
      </c>
      <c r="AC246" s="127">
        <v>13.15</v>
      </c>
    </row>
    <row r="247" spans="1:29" x14ac:dyDescent="0.3">
      <c r="A247" s="134">
        <v>44734</v>
      </c>
      <c r="B247" s="134">
        <v>44743</v>
      </c>
      <c r="C247" s="135">
        <f>NETWORKDAYS(A247,B247-1,Feriados!$A$2:$A$2000)</f>
        <v>7</v>
      </c>
      <c r="D247" s="128">
        <v>13.207000000000001</v>
      </c>
      <c r="E247" s="137">
        <f t="shared" si="69"/>
        <v>0</v>
      </c>
      <c r="F247" s="138">
        <f t="shared" si="70"/>
        <v>996.560157</v>
      </c>
      <c r="G247" s="137">
        <f t="shared" si="76"/>
        <v>99656.02</v>
      </c>
      <c r="H247" s="137">
        <f t="shared" si="77"/>
        <v>4.9243541892707299E-2</v>
      </c>
      <c r="I247" s="139">
        <f t="shared" si="78"/>
        <v>1.0632818824191166</v>
      </c>
      <c r="J247" s="134">
        <f t="shared" si="71"/>
        <v>44743</v>
      </c>
      <c r="K247" s="130">
        <v>13.151999999999999</v>
      </c>
      <c r="L247" s="137">
        <f t="shared" si="66"/>
        <v>0</v>
      </c>
      <c r="M247" s="137">
        <f t="shared" si="67"/>
        <v>99657.36</v>
      </c>
      <c r="N247" s="127">
        <v>13.15</v>
      </c>
      <c r="O247" s="140">
        <f t="shared" si="79"/>
        <v>0</v>
      </c>
      <c r="P247" s="137">
        <f t="shared" si="72"/>
        <v>99657.36</v>
      </c>
      <c r="Q247" s="137">
        <f t="shared" si="80"/>
        <v>4.9041994504284148E-2</v>
      </c>
      <c r="R247" s="139">
        <f t="shared" si="81"/>
        <v>1.0626962617181224</v>
      </c>
      <c r="S247" s="169">
        <f t="shared" si="68"/>
        <v>5.5000000000001492E-2</v>
      </c>
      <c r="T247" s="157">
        <f t="shared" si="73"/>
        <v>0</v>
      </c>
      <c r="U247" s="137">
        <f t="shared" si="74"/>
        <v>99656.02</v>
      </c>
      <c r="V247" s="137">
        <f t="shared" si="75"/>
        <v>99656.02</v>
      </c>
      <c r="W247" s="137">
        <f t="shared" si="82"/>
        <v>4.9243541892707299E-2</v>
      </c>
      <c r="X247" s="139">
        <f t="shared" si="83"/>
        <v>1.0834286285294832</v>
      </c>
      <c r="AA247" s="128">
        <v>13.207000000000001</v>
      </c>
      <c r="AB247" s="130">
        <v>13.151999999999999</v>
      </c>
      <c r="AC247" s="127">
        <v>13.15</v>
      </c>
    </row>
    <row r="248" spans="1:29" x14ac:dyDescent="0.3">
      <c r="A248" s="134">
        <v>44735</v>
      </c>
      <c r="B248" s="134">
        <v>44743</v>
      </c>
      <c r="C248" s="135">
        <f>NETWORKDAYS(A248,B248-1,Feriados!$A$2:$A$2000)</f>
        <v>6</v>
      </c>
      <c r="D248" s="128">
        <v>13.2014</v>
      </c>
      <c r="E248" s="137">
        <f t="shared" si="69"/>
        <v>-5.6000000000011596E-3</v>
      </c>
      <c r="F248" s="138">
        <f t="shared" si="70"/>
        <v>997.05201199999999</v>
      </c>
      <c r="G248" s="137">
        <f t="shared" si="76"/>
        <v>99705.2</v>
      </c>
      <c r="H248" s="137">
        <f t="shared" si="77"/>
        <v>4.9349753281324737E-2</v>
      </c>
      <c r="I248" s="139">
        <f t="shared" si="78"/>
        <v>1.0638066094047753</v>
      </c>
      <c r="J248" s="134">
        <f t="shared" si="71"/>
        <v>44743</v>
      </c>
      <c r="K248" s="130">
        <v>13.15</v>
      </c>
      <c r="L248" s="137">
        <f t="shared" si="66"/>
        <v>-1.9999999999988916E-3</v>
      </c>
      <c r="M248" s="137">
        <f t="shared" si="67"/>
        <v>99706.28</v>
      </c>
      <c r="N248" s="127">
        <v>13.15</v>
      </c>
      <c r="O248" s="140">
        <f t="shared" si="79"/>
        <v>5.0000000002910383E-2</v>
      </c>
      <c r="P248" s="137">
        <f t="shared" si="72"/>
        <v>99706.28</v>
      </c>
      <c r="Q248" s="137">
        <f t="shared" si="80"/>
        <v>4.9088195794078082E-2</v>
      </c>
      <c r="R248" s="139">
        <f t="shared" si="81"/>
        <v>1.0632179201397709</v>
      </c>
      <c r="S248" s="169">
        <f t="shared" si="68"/>
        <v>5.1399999999999224E-2</v>
      </c>
      <c r="T248" s="157">
        <f t="shared" si="73"/>
        <v>-3.6000000000022681E-3</v>
      </c>
      <c r="U248" s="137">
        <f t="shared" si="74"/>
        <v>99705.2</v>
      </c>
      <c r="V248" s="137">
        <f t="shared" si="75"/>
        <v>99705.15</v>
      </c>
      <c r="W248" s="137">
        <f t="shared" si="82"/>
        <v>4.9299580697681478E-2</v>
      </c>
      <c r="X248" s="139">
        <f t="shared" si="83"/>
        <v>1.0839627543005068</v>
      </c>
      <c r="AA248" s="128">
        <v>13.2014</v>
      </c>
      <c r="AB248" s="130">
        <v>13.15</v>
      </c>
      <c r="AC248" s="127">
        <v>13.15</v>
      </c>
    </row>
    <row r="249" spans="1:29" x14ac:dyDescent="0.3">
      <c r="A249" s="134">
        <v>44736</v>
      </c>
      <c r="B249" s="134">
        <v>44743</v>
      </c>
      <c r="C249" s="135">
        <f>NETWORKDAYS(A249,B249-1,Feriados!$A$2:$A$2000)</f>
        <v>5</v>
      </c>
      <c r="D249" s="128">
        <v>13.1982</v>
      </c>
      <c r="E249" s="137">
        <f t="shared" si="69"/>
        <v>-3.1999999999996476E-3</v>
      </c>
      <c r="F249" s="138">
        <f t="shared" si="70"/>
        <v>997.54329800000005</v>
      </c>
      <c r="G249" s="137">
        <f t="shared" si="76"/>
        <v>99754.33</v>
      </c>
      <c r="H249" s="137">
        <f t="shared" si="77"/>
        <v>4.92752634767335E-2</v>
      </c>
      <c r="I249" s="139">
        <f t="shared" si="78"/>
        <v>1.0643308029144425</v>
      </c>
      <c r="J249" s="134">
        <f t="shared" si="71"/>
        <v>44743</v>
      </c>
      <c r="K249" s="130">
        <v>13.15</v>
      </c>
      <c r="L249" s="137">
        <f t="shared" si="66"/>
        <v>0</v>
      </c>
      <c r="M249" s="137">
        <f t="shared" si="67"/>
        <v>99755.17</v>
      </c>
      <c r="N249" s="127">
        <v>13.15</v>
      </c>
      <c r="O249" s="140">
        <f t="shared" si="79"/>
        <v>0</v>
      </c>
      <c r="P249" s="137">
        <f t="shared" si="72"/>
        <v>99755.17</v>
      </c>
      <c r="Q249" s="137">
        <f t="shared" si="80"/>
        <v>4.9034022731575533E-2</v>
      </c>
      <c r="R249" s="139">
        <f t="shared" si="81"/>
        <v>1.0637392586564185</v>
      </c>
      <c r="S249" s="169">
        <f t="shared" si="68"/>
        <v>4.8199999999999577E-2</v>
      </c>
      <c r="T249" s="157">
        <f t="shared" si="73"/>
        <v>-3.1999999999996476E-3</v>
      </c>
      <c r="U249" s="137">
        <f t="shared" si="74"/>
        <v>99754.33</v>
      </c>
      <c r="V249" s="137">
        <f t="shared" si="75"/>
        <v>99754.33</v>
      </c>
      <c r="W249" s="137">
        <f t="shared" si="82"/>
        <v>4.92752634767335E-2</v>
      </c>
      <c r="X249" s="139">
        <f t="shared" si="83"/>
        <v>1.084496879803678</v>
      </c>
      <c r="AA249" s="128">
        <v>13.1982</v>
      </c>
      <c r="AB249" s="130">
        <v>13.15</v>
      </c>
      <c r="AC249" s="127">
        <v>13.15</v>
      </c>
    </row>
    <row r="250" spans="1:29" x14ac:dyDescent="0.3">
      <c r="A250" s="134">
        <v>44739</v>
      </c>
      <c r="B250" s="134">
        <v>44743</v>
      </c>
      <c r="C250" s="135">
        <f>NETWORKDAYS(A250,B250-1,Feriados!$A$2:$A$2000)</f>
        <v>4</v>
      </c>
      <c r="D250" s="128">
        <v>13.1998</v>
      </c>
      <c r="E250" s="137">
        <f t="shared" si="69"/>
        <v>1.5999999999998238E-3</v>
      </c>
      <c r="F250" s="138">
        <f t="shared" si="70"/>
        <v>998.03393100000005</v>
      </c>
      <c r="G250" s="137">
        <f t="shared" si="76"/>
        <v>99803.39</v>
      </c>
      <c r="H250" s="137">
        <f t="shared" si="77"/>
        <v>4.9180822526695422E-2</v>
      </c>
      <c r="I250" s="139">
        <f t="shared" si="78"/>
        <v>1.0648542495577209</v>
      </c>
      <c r="J250" s="134">
        <f t="shared" si="71"/>
        <v>44743</v>
      </c>
      <c r="K250" s="130">
        <v>13.15</v>
      </c>
      <c r="L250" s="137">
        <f t="shared" si="66"/>
        <v>0</v>
      </c>
      <c r="M250" s="137">
        <f t="shared" si="67"/>
        <v>99804.09</v>
      </c>
      <c r="N250" s="127">
        <v>13.15</v>
      </c>
      <c r="O250" s="140">
        <f t="shared" si="79"/>
        <v>0</v>
      </c>
      <c r="P250" s="137">
        <f t="shared" si="72"/>
        <v>99804.09</v>
      </c>
      <c r="Q250" s="137">
        <f t="shared" si="80"/>
        <v>4.9040064790628612E-2</v>
      </c>
      <c r="R250" s="139">
        <f t="shared" si="81"/>
        <v>1.064260917078067</v>
      </c>
      <c r="S250" s="169">
        <f t="shared" si="68"/>
        <v>4.97999999999994E-2</v>
      </c>
      <c r="T250" s="157">
        <f t="shared" si="73"/>
        <v>1.5999999999998238E-3</v>
      </c>
      <c r="U250" s="137">
        <f t="shared" si="74"/>
        <v>99803.39</v>
      </c>
      <c r="V250" s="137">
        <f t="shared" si="75"/>
        <v>99803.39</v>
      </c>
      <c r="W250" s="137">
        <f t="shared" si="82"/>
        <v>4.9180822526695422E-2</v>
      </c>
      <c r="X250" s="139">
        <f t="shared" si="83"/>
        <v>1.0850302442894417</v>
      </c>
      <c r="AA250" s="128">
        <v>13.1998</v>
      </c>
      <c r="AB250" s="130">
        <v>13.15</v>
      </c>
      <c r="AC250" s="127">
        <v>13.15</v>
      </c>
    </row>
    <row r="251" spans="1:29" x14ac:dyDescent="0.3">
      <c r="A251" s="134">
        <v>44740</v>
      </c>
      <c r="B251" s="134">
        <v>44743</v>
      </c>
      <c r="C251" s="135">
        <f>NETWORKDAYS(A251,B251-1,Feriados!$A$2:$A$2000)</f>
        <v>3</v>
      </c>
      <c r="D251" s="128">
        <v>13.201599999999999</v>
      </c>
      <c r="E251" s="137">
        <f t="shared" si="69"/>
        <v>1.7999999999993577E-3</v>
      </c>
      <c r="F251" s="138">
        <f t="shared" si="70"/>
        <v>998.52489700000001</v>
      </c>
      <c r="G251" s="137">
        <f t="shared" si="76"/>
        <v>99852.49</v>
      </c>
      <c r="H251" s="137">
        <f t="shared" si="77"/>
        <v>4.9196725682376652E-2</v>
      </c>
      <c r="I251" s="139">
        <f t="shared" si="78"/>
        <v>1.0653781229817929</v>
      </c>
      <c r="J251" s="134">
        <f t="shared" si="71"/>
        <v>44743</v>
      </c>
      <c r="K251" s="130">
        <v>13.151999999999999</v>
      </c>
      <c r="L251" s="137">
        <f t="shared" si="66"/>
        <v>1.9999999999988916E-3</v>
      </c>
      <c r="M251" s="137">
        <f t="shared" si="67"/>
        <v>99853.01</v>
      </c>
      <c r="N251" s="127">
        <v>13.15</v>
      </c>
      <c r="O251" s="140">
        <f t="shared" si="79"/>
        <v>-2.0000000004074536E-2</v>
      </c>
      <c r="P251" s="137">
        <f t="shared" si="72"/>
        <v>99853.01</v>
      </c>
      <c r="Q251" s="137">
        <f t="shared" si="80"/>
        <v>4.9016027299075837E-2</v>
      </c>
      <c r="R251" s="139">
        <f t="shared" si="81"/>
        <v>1.0647825754997153</v>
      </c>
      <c r="S251" s="169">
        <f t="shared" si="68"/>
        <v>4.9599999999999866E-2</v>
      </c>
      <c r="T251" s="157">
        <f t="shared" si="73"/>
        <v>-1.9999999999953388E-4</v>
      </c>
      <c r="U251" s="137">
        <f t="shared" si="74"/>
        <v>99852.49</v>
      </c>
      <c r="V251" s="137">
        <f t="shared" si="75"/>
        <v>99852.510000000009</v>
      </c>
      <c r="W251" s="137">
        <f t="shared" si="82"/>
        <v>4.9216765081827596E-2</v>
      </c>
      <c r="X251" s="139">
        <f t="shared" si="83"/>
        <v>1.0855642610758405</v>
      </c>
      <c r="AA251" s="128">
        <v>13.201599999999999</v>
      </c>
      <c r="AB251" s="130">
        <v>13.151999999999999</v>
      </c>
      <c r="AC251" s="127">
        <v>13.15</v>
      </c>
    </row>
    <row r="252" spans="1:29" x14ac:dyDescent="0.3">
      <c r="A252" s="134">
        <v>44741</v>
      </c>
      <c r="B252" s="134">
        <v>44743</v>
      </c>
      <c r="C252" s="135">
        <f>NETWORKDAYS(A252,B252-1,Feriados!$A$2:$A$2000)</f>
        <v>2</v>
      </c>
      <c r="D252" s="128">
        <v>13.2019</v>
      </c>
      <c r="E252" s="137">
        <f t="shared" si="69"/>
        <v>3.0000000000107718E-4</v>
      </c>
      <c r="F252" s="138">
        <f t="shared" si="70"/>
        <v>999.01633500000003</v>
      </c>
      <c r="G252" s="137">
        <f t="shared" si="76"/>
        <v>99901.63</v>
      </c>
      <c r="H252" s="137">
        <f t="shared" si="77"/>
        <v>4.9212593496661405E-2</v>
      </c>
      <c r="I252" s="139">
        <f t="shared" si="78"/>
        <v>1.0659024231866583</v>
      </c>
      <c r="J252" s="134">
        <f t="shared" si="71"/>
        <v>44743</v>
      </c>
      <c r="K252" s="130">
        <v>13.151999999999999</v>
      </c>
      <c r="L252" s="137">
        <f t="shared" si="66"/>
        <v>0</v>
      </c>
      <c r="M252" s="137">
        <f t="shared" si="67"/>
        <v>99901.98</v>
      </c>
      <c r="N252" s="127">
        <v>13.15</v>
      </c>
      <c r="O252" s="140">
        <f t="shared" si="79"/>
        <v>0</v>
      </c>
      <c r="P252" s="137">
        <f t="shared" si="72"/>
        <v>99901.98</v>
      </c>
      <c r="Q252" s="137">
        <f t="shared" si="80"/>
        <v>4.9042086963635434E-2</v>
      </c>
      <c r="R252" s="139">
        <f t="shared" si="81"/>
        <v>1.0653047670963656</v>
      </c>
      <c r="S252" s="169">
        <f t="shared" si="68"/>
        <v>4.9900000000000944E-2</v>
      </c>
      <c r="T252" s="157">
        <f t="shared" si="73"/>
        <v>3.0000000000107718E-4</v>
      </c>
      <c r="U252" s="137">
        <f t="shared" si="74"/>
        <v>99901.63</v>
      </c>
      <c r="V252" s="137">
        <f t="shared" si="75"/>
        <v>99901.63</v>
      </c>
      <c r="W252" s="137">
        <f t="shared" si="82"/>
        <v>4.9212593496661405E-2</v>
      </c>
      <c r="X252" s="139">
        <f t="shared" si="83"/>
        <v>1.0860984954027888</v>
      </c>
      <c r="AA252" s="128">
        <v>13.2019</v>
      </c>
      <c r="AB252" s="130">
        <v>13.151999999999999</v>
      </c>
      <c r="AC252" s="127">
        <v>13.15</v>
      </c>
    </row>
    <row r="253" spans="1:29" x14ac:dyDescent="0.3">
      <c r="A253" s="134">
        <v>44742</v>
      </c>
      <c r="B253" s="134">
        <v>44743</v>
      </c>
      <c r="C253" s="135">
        <f>NETWORKDAYS(A253,B253-1,Feriados!$A$2:$A$2000)</f>
        <v>1</v>
      </c>
      <c r="D253" s="128">
        <v>13.202500000000001</v>
      </c>
      <c r="E253" s="137">
        <f t="shared" si="69"/>
        <v>6.0000000000037801E-4</v>
      </c>
      <c r="F253" s="138">
        <f t="shared" si="70"/>
        <v>999.50802499999998</v>
      </c>
      <c r="G253" s="137">
        <f t="shared" si="76"/>
        <v>99950.8</v>
      </c>
      <c r="H253" s="137">
        <f t="shared" si="77"/>
        <v>4.9218416155971667E-2</v>
      </c>
      <c r="I253" s="139">
        <f t="shared" si="78"/>
        <v>1.0664270434771188</v>
      </c>
      <c r="J253" s="134">
        <f t="shared" si="71"/>
        <v>44743</v>
      </c>
      <c r="K253" s="130">
        <v>13.148999999999999</v>
      </c>
      <c r="L253" s="137">
        <f t="shared" si="66"/>
        <v>-3.0000000000001137E-3</v>
      </c>
      <c r="M253" s="137">
        <f t="shared" si="67"/>
        <v>99950.99</v>
      </c>
      <c r="N253" s="127">
        <v>13.15</v>
      </c>
      <c r="O253" s="140">
        <f t="shared" si="79"/>
        <v>2.0000000004074536E-2</v>
      </c>
      <c r="P253" s="137">
        <f t="shared" si="72"/>
        <v>99950.99</v>
      </c>
      <c r="Q253" s="137">
        <f t="shared" si="80"/>
        <v>4.9058086736630813E-2</v>
      </c>
      <c r="R253" s="139">
        <f t="shared" si="81"/>
        <v>1.0658273852330171</v>
      </c>
      <c r="S253" s="169">
        <f t="shared" si="68"/>
        <v>5.3500000000001435E-2</v>
      </c>
      <c r="T253" s="157">
        <f t="shared" si="73"/>
        <v>3.6000000000004917E-3</v>
      </c>
      <c r="U253" s="137">
        <f t="shared" si="74"/>
        <v>99950.8</v>
      </c>
      <c r="V253" s="137">
        <f t="shared" si="75"/>
        <v>99950.78</v>
      </c>
      <c r="W253" s="137">
        <f t="shared" si="82"/>
        <v>4.9198396462601934E-2</v>
      </c>
      <c r="X253" s="139">
        <f t="shared" si="83"/>
        <v>1.0866328384465314</v>
      </c>
      <c r="AA253" s="128">
        <v>13.202500000000001</v>
      </c>
      <c r="AB253" s="130">
        <v>13.148999999999999</v>
      </c>
      <c r="AC253" s="127">
        <v>13.15</v>
      </c>
    </row>
    <row r="254" spans="1:29" x14ac:dyDescent="0.3">
      <c r="A254" s="134">
        <v>44743</v>
      </c>
      <c r="B254" s="134">
        <v>44743</v>
      </c>
      <c r="C254" s="135">
        <f>NETWORKDAYS(A254,B254-1,Feriados!$A$2:$A$2000)</f>
        <v>-2</v>
      </c>
      <c r="D254" s="128">
        <f t="shared" ref="D254" si="84">+D253</f>
        <v>13.202500000000001</v>
      </c>
      <c r="E254" s="137">
        <f t="shared" si="69"/>
        <v>0</v>
      </c>
      <c r="F254" s="142">
        <v>1000</v>
      </c>
      <c r="G254" s="137">
        <f t="shared" si="76"/>
        <v>100000</v>
      </c>
      <c r="H254" s="137">
        <f t="shared" si="77"/>
        <v>4.9224218315413459E-2</v>
      </c>
      <c r="I254" s="139">
        <f t="shared" si="78"/>
        <v>1.0669519838531747</v>
      </c>
      <c r="J254" s="134">
        <f t="shared" si="71"/>
        <v>44743</v>
      </c>
      <c r="K254" s="128">
        <f t="shared" si="71"/>
        <v>13.148999999999999</v>
      </c>
      <c r="L254" s="137">
        <f t="shared" si="66"/>
        <v>0</v>
      </c>
      <c r="M254" s="141">
        <v>100000</v>
      </c>
      <c r="N254" s="127">
        <v>13.15</v>
      </c>
      <c r="O254" s="140">
        <f t="shared" si="79"/>
        <v>0</v>
      </c>
      <c r="P254" s="137">
        <f t="shared" si="72"/>
        <v>100000</v>
      </c>
      <c r="Q254" s="137">
        <f t="shared" si="80"/>
        <v>4.9034031578876203E-2</v>
      </c>
      <c r="R254" s="139">
        <f t="shared" si="81"/>
        <v>1.0663500033696687</v>
      </c>
      <c r="S254" s="169">
        <f t="shared" si="68"/>
        <v>5.3500000000001435E-2</v>
      </c>
      <c r="T254" s="157">
        <f t="shared" si="73"/>
        <v>0</v>
      </c>
      <c r="U254" s="137">
        <f t="shared" si="74"/>
        <v>100000</v>
      </c>
      <c r="V254" s="137">
        <f t="shared" si="75"/>
        <v>100000</v>
      </c>
      <c r="W254" s="137">
        <f t="shared" si="82"/>
        <v>4.9224218315413459E-2</v>
      </c>
      <c r="X254" s="139">
        <f t="shared" si="83"/>
        <v>1.0871677249672151</v>
      </c>
    </row>
    <row r="256" spans="1:29" ht="18" x14ac:dyDescent="0.35">
      <c r="A256" s="124"/>
      <c r="D256" s="165">
        <f>AVERAGE(D2:D254)</f>
        <v>10.721196837944657</v>
      </c>
      <c r="I256" s="132">
        <f>+I254</f>
        <v>1.0669519838531747</v>
      </c>
      <c r="K256" s="165">
        <f>AVERAGE(K2:K254)</f>
        <v>10.705584980237155</v>
      </c>
      <c r="N256" s="165">
        <f>AVERAGE(N2:N254)</f>
        <v>8.713241106719396</v>
      </c>
      <c r="R256" s="132">
        <f>+R254</f>
        <v>1.0663500033696687</v>
      </c>
      <c r="S256" s="167">
        <f>AVERAGE(S2:S254)</f>
        <v>1.5611857707509925E-2</v>
      </c>
      <c r="X256" s="132">
        <f>+X254</f>
        <v>1.0871677249672151</v>
      </c>
    </row>
    <row r="257" spans="1:25" ht="18" x14ac:dyDescent="0.35">
      <c r="A257" s="124"/>
      <c r="I257" s="132">
        <f>+I256-1</f>
        <v>6.695198385317469E-2</v>
      </c>
      <c r="R257" s="132">
        <f>+R256-1</f>
        <v>6.6350003369668675E-2</v>
      </c>
      <c r="X257" s="132">
        <f>+X256-1</f>
        <v>8.7167724967215143E-2</v>
      </c>
    </row>
    <row r="258" spans="1:25" ht="18" x14ac:dyDescent="0.35">
      <c r="A258" s="124"/>
      <c r="I258" s="154">
        <f>+I257*100</f>
        <v>6.695198385317469</v>
      </c>
      <c r="R258" s="154">
        <f>+R257*100</f>
        <v>6.6350003369668675</v>
      </c>
      <c r="X258" s="154">
        <f>+X257*100</f>
        <v>8.7167724967215143</v>
      </c>
    </row>
    <row r="259" spans="1:25" ht="18" x14ac:dyDescent="0.35">
      <c r="A259" s="124"/>
      <c r="R259" s="167">
        <f>+I258-R258</f>
        <v>6.0198048350601496E-2</v>
      </c>
    </row>
    <row r="260" spans="1:25" ht="18" x14ac:dyDescent="0.35">
      <c r="A260" s="124"/>
      <c r="X260" s="155">
        <v>8.6910930000000004</v>
      </c>
      <c r="Y260" s="166">
        <f>+X258-X260</f>
        <v>2.5679496721513928E-2</v>
      </c>
    </row>
    <row r="261" spans="1:25" ht="18" x14ac:dyDescent="0.35">
      <c r="A261" s="124"/>
      <c r="X261" s="156">
        <f>+X258/X260</f>
        <v>1.002954691282387</v>
      </c>
    </row>
    <row r="262" spans="1:25" x14ac:dyDescent="0.3">
      <c r="A262" s="124"/>
    </row>
    <row r="263" spans="1:25" x14ac:dyDescent="0.3">
      <c r="A263" s="124"/>
    </row>
    <row r="264" spans="1:25" x14ac:dyDescent="0.3">
      <c r="A264" s="124"/>
    </row>
    <row r="265" spans="1:25" x14ac:dyDescent="0.3">
      <c r="A265" s="124"/>
    </row>
    <row r="266" spans="1:25" x14ac:dyDescent="0.3">
      <c r="A266" s="124"/>
    </row>
    <row r="267" spans="1:25" x14ac:dyDescent="0.3">
      <c r="A267" s="124"/>
    </row>
    <row r="268" spans="1:25" x14ac:dyDescent="0.3">
      <c r="A268" s="124"/>
    </row>
    <row r="269" spans="1:25" x14ac:dyDescent="0.3">
      <c r="A269" s="124"/>
    </row>
    <row r="270" spans="1:25" x14ac:dyDescent="0.3">
      <c r="A270" s="124"/>
    </row>
    <row r="271" spans="1:25" x14ac:dyDescent="0.3">
      <c r="A271" s="124"/>
    </row>
    <row r="272" spans="1:25" x14ac:dyDescent="0.3">
      <c r="A272" s="124"/>
    </row>
    <row r="273" spans="1:1" x14ac:dyDescent="0.3">
      <c r="A273" s="124"/>
    </row>
    <row r="274" spans="1:1" x14ac:dyDescent="0.3">
      <c r="A274" s="124"/>
    </row>
    <row r="275" spans="1:1" x14ac:dyDescent="0.3">
      <c r="A275" s="124"/>
    </row>
    <row r="276" spans="1:1" x14ac:dyDescent="0.3">
      <c r="A276" s="124"/>
    </row>
    <row r="277" spans="1:1" x14ac:dyDescent="0.3">
      <c r="A277" s="124"/>
    </row>
    <row r="278" spans="1:1" x14ac:dyDescent="0.3">
      <c r="A278" s="124"/>
    </row>
    <row r="279" spans="1:1" x14ac:dyDescent="0.3">
      <c r="A279" s="124"/>
    </row>
    <row r="280" spans="1:1" x14ac:dyDescent="0.3">
      <c r="A280" s="124"/>
    </row>
    <row r="281" spans="1:1" x14ac:dyDescent="0.3">
      <c r="A281" s="124"/>
    </row>
    <row r="282" spans="1:1" x14ac:dyDescent="0.3">
      <c r="A282" s="124"/>
    </row>
    <row r="283" spans="1:1" x14ac:dyDescent="0.3">
      <c r="A283" s="124"/>
    </row>
    <row r="284" spans="1:1" x14ac:dyDescent="0.3">
      <c r="A284" s="124"/>
    </row>
    <row r="285" spans="1:1" x14ac:dyDescent="0.3">
      <c r="A285" s="124"/>
    </row>
    <row r="286" spans="1:1" x14ac:dyDescent="0.3">
      <c r="A286" s="124"/>
    </row>
    <row r="287" spans="1:1" x14ac:dyDescent="0.3">
      <c r="A287" s="124"/>
    </row>
    <row r="288" spans="1:1" x14ac:dyDescent="0.3">
      <c r="A288" s="124"/>
    </row>
    <row r="289" spans="1:1" x14ac:dyDescent="0.3">
      <c r="A289" s="124"/>
    </row>
    <row r="290" spans="1:1" x14ac:dyDescent="0.3">
      <c r="A290" s="124"/>
    </row>
    <row r="291" spans="1:1" x14ac:dyDescent="0.3">
      <c r="A291" s="124"/>
    </row>
    <row r="292" spans="1:1" x14ac:dyDescent="0.3">
      <c r="A292" s="124"/>
    </row>
    <row r="293" spans="1:1" x14ac:dyDescent="0.3">
      <c r="A293" s="124"/>
    </row>
    <row r="294" spans="1:1" x14ac:dyDescent="0.3">
      <c r="A294" s="124"/>
    </row>
    <row r="295" spans="1:1" x14ac:dyDescent="0.3">
      <c r="A295" s="124"/>
    </row>
    <row r="296" spans="1:1" x14ac:dyDescent="0.3">
      <c r="A296" s="124"/>
    </row>
    <row r="297" spans="1:1" x14ac:dyDescent="0.3">
      <c r="A297" s="124"/>
    </row>
    <row r="298" spans="1:1" x14ac:dyDescent="0.3">
      <c r="A298" s="124"/>
    </row>
    <row r="299" spans="1:1" x14ac:dyDescent="0.3">
      <c r="A299" s="124"/>
    </row>
    <row r="300" spans="1:1" x14ac:dyDescent="0.3">
      <c r="A300" s="124"/>
    </row>
    <row r="301" spans="1:1" x14ac:dyDescent="0.3">
      <c r="A301" s="124"/>
    </row>
    <row r="302" spans="1:1" x14ac:dyDescent="0.3">
      <c r="A302" s="124"/>
    </row>
    <row r="303" spans="1:1" x14ac:dyDescent="0.3">
      <c r="A303" s="124"/>
    </row>
    <row r="304" spans="1:1" x14ac:dyDescent="0.3">
      <c r="A304" s="124"/>
    </row>
    <row r="305" spans="1:1" x14ac:dyDescent="0.3">
      <c r="A305" s="124"/>
    </row>
    <row r="306" spans="1:1" x14ac:dyDescent="0.3">
      <c r="A306" s="124"/>
    </row>
    <row r="307" spans="1:1" x14ac:dyDescent="0.3">
      <c r="A307" s="124"/>
    </row>
    <row r="308" spans="1:1" x14ac:dyDescent="0.3">
      <c r="A308" s="124"/>
    </row>
    <row r="309" spans="1:1" x14ac:dyDescent="0.3">
      <c r="A309" s="124"/>
    </row>
    <row r="310" spans="1:1" x14ac:dyDescent="0.3">
      <c r="A310" s="124"/>
    </row>
    <row r="311" spans="1:1" x14ac:dyDescent="0.3">
      <c r="A311" s="124"/>
    </row>
    <row r="312" spans="1:1" x14ac:dyDescent="0.3">
      <c r="A312" s="124"/>
    </row>
    <row r="313" spans="1:1" x14ac:dyDescent="0.3">
      <c r="A313" s="124"/>
    </row>
    <row r="314" spans="1:1" x14ac:dyDescent="0.3">
      <c r="A314" s="124"/>
    </row>
    <row r="315" spans="1:1" x14ac:dyDescent="0.3">
      <c r="A315" s="124"/>
    </row>
    <row r="316" spans="1:1" x14ac:dyDescent="0.3">
      <c r="A316" s="124"/>
    </row>
    <row r="317" spans="1:1" x14ac:dyDescent="0.3">
      <c r="A317" s="124"/>
    </row>
    <row r="318" spans="1:1" x14ac:dyDescent="0.3">
      <c r="A318" s="124"/>
    </row>
    <row r="319" spans="1:1" x14ac:dyDescent="0.3">
      <c r="A319" s="124"/>
    </row>
    <row r="320" spans="1:1" x14ac:dyDescent="0.3">
      <c r="A320" s="124"/>
    </row>
    <row r="321" spans="1:1" x14ac:dyDescent="0.3">
      <c r="A321" s="124"/>
    </row>
    <row r="322" spans="1:1" x14ac:dyDescent="0.3">
      <c r="A322" s="124"/>
    </row>
    <row r="323" spans="1:1" x14ac:dyDescent="0.3">
      <c r="A323" s="124"/>
    </row>
    <row r="324" spans="1:1" x14ac:dyDescent="0.3">
      <c r="A324" s="124"/>
    </row>
    <row r="325" spans="1:1" x14ac:dyDescent="0.3">
      <c r="A325" s="124"/>
    </row>
    <row r="326" spans="1:1" x14ac:dyDescent="0.3">
      <c r="A326" s="124"/>
    </row>
    <row r="327" spans="1:1" x14ac:dyDescent="0.3">
      <c r="A327" s="124"/>
    </row>
    <row r="328" spans="1:1" x14ac:dyDescent="0.3">
      <c r="A328" s="124"/>
    </row>
    <row r="329" spans="1:1" x14ac:dyDescent="0.3">
      <c r="A329" s="124"/>
    </row>
    <row r="330" spans="1:1" x14ac:dyDescent="0.3">
      <c r="A330" s="124"/>
    </row>
    <row r="331" spans="1:1" x14ac:dyDescent="0.3">
      <c r="A331" s="124"/>
    </row>
    <row r="332" spans="1:1" x14ac:dyDescent="0.3">
      <c r="A332" s="124"/>
    </row>
    <row r="333" spans="1:1" x14ac:dyDescent="0.3">
      <c r="A333" s="124"/>
    </row>
    <row r="334" spans="1:1" x14ac:dyDescent="0.3">
      <c r="A334" s="124"/>
    </row>
    <row r="335" spans="1:1" x14ac:dyDescent="0.3">
      <c r="A335" s="124"/>
    </row>
    <row r="336" spans="1:1" x14ac:dyDescent="0.3">
      <c r="A336" s="124"/>
    </row>
    <row r="337" spans="1:1" x14ac:dyDescent="0.3">
      <c r="A337" s="124"/>
    </row>
    <row r="338" spans="1:1" x14ac:dyDescent="0.3">
      <c r="A338" s="124"/>
    </row>
    <row r="339" spans="1:1" x14ac:dyDescent="0.3">
      <c r="A339" s="124"/>
    </row>
    <row r="340" spans="1:1" x14ac:dyDescent="0.3">
      <c r="A340" s="124"/>
    </row>
    <row r="341" spans="1:1" x14ac:dyDescent="0.3">
      <c r="A341" s="124"/>
    </row>
    <row r="342" spans="1:1" x14ac:dyDescent="0.3">
      <c r="A342" s="124"/>
    </row>
    <row r="343" spans="1:1" x14ac:dyDescent="0.3">
      <c r="A343" s="124"/>
    </row>
    <row r="344" spans="1:1" x14ac:dyDescent="0.3">
      <c r="A344" s="124"/>
    </row>
    <row r="345" spans="1:1" x14ac:dyDescent="0.3">
      <c r="A345" s="124"/>
    </row>
    <row r="346" spans="1:1" x14ac:dyDescent="0.3">
      <c r="A346" s="124"/>
    </row>
    <row r="347" spans="1:1" x14ac:dyDescent="0.3">
      <c r="A347" s="124"/>
    </row>
    <row r="348" spans="1:1" x14ac:dyDescent="0.3">
      <c r="A348" s="124"/>
    </row>
    <row r="349" spans="1:1" x14ac:dyDescent="0.3">
      <c r="A349" s="124"/>
    </row>
    <row r="350" spans="1:1" x14ac:dyDescent="0.3">
      <c r="A350" s="124"/>
    </row>
    <row r="351" spans="1:1" x14ac:dyDescent="0.3">
      <c r="A351" s="124"/>
    </row>
    <row r="352" spans="1:1" x14ac:dyDescent="0.3">
      <c r="A352" s="124"/>
    </row>
    <row r="353" spans="1:1" x14ac:dyDescent="0.3">
      <c r="A353" s="124"/>
    </row>
    <row r="354" spans="1:1" x14ac:dyDescent="0.3">
      <c r="A354" s="124"/>
    </row>
    <row r="355" spans="1:1" x14ac:dyDescent="0.3">
      <c r="A355" s="124"/>
    </row>
    <row r="356" spans="1:1" x14ac:dyDescent="0.3">
      <c r="A356" s="124"/>
    </row>
    <row r="357" spans="1:1" x14ac:dyDescent="0.3">
      <c r="A357" s="124"/>
    </row>
    <row r="358" spans="1:1" x14ac:dyDescent="0.3">
      <c r="A358" s="124"/>
    </row>
    <row r="359" spans="1:1" x14ac:dyDescent="0.3">
      <c r="A359" s="124"/>
    </row>
    <row r="360" spans="1:1" x14ac:dyDescent="0.3">
      <c r="A360" s="124"/>
    </row>
    <row r="361" spans="1:1" x14ac:dyDescent="0.3">
      <c r="A361" s="124"/>
    </row>
    <row r="362" spans="1:1" x14ac:dyDescent="0.3">
      <c r="A362" s="124"/>
    </row>
    <row r="363" spans="1:1" x14ac:dyDescent="0.3">
      <c r="A363" s="124"/>
    </row>
    <row r="364" spans="1:1" x14ac:dyDescent="0.3">
      <c r="A364" s="124"/>
    </row>
    <row r="365" spans="1:1" x14ac:dyDescent="0.3">
      <c r="A365" s="124"/>
    </row>
    <row r="366" spans="1:1" x14ac:dyDescent="0.3">
      <c r="A366" s="124"/>
    </row>
    <row r="367" spans="1:1" x14ac:dyDescent="0.3">
      <c r="A367" s="124"/>
    </row>
    <row r="368" spans="1:1" x14ac:dyDescent="0.3">
      <c r="A368" s="124"/>
    </row>
    <row r="369" spans="1:1" x14ac:dyDescent="0.3">
      <c r="A369" s="124"/>
    </row>
    <row r="370" spans="1:1" x14ac:dyDescent="0.3">
      <c r="A370" s="124"/>
    </row>
    <row r="371" spans="1:1" x14ac:dyDescent="0.3">
      <c r="A371" s="124"/>
    </row>
    <row r="372" spans="1:1" x14ac:dyDescent="0.3">
      <c r="A372" s="124"/>
    </row>
    <row r="373" spans="1:1" x14ac:dyDescent="0.3">
      <c r="A373" s="124"/>
    </row>
    <row r="374" spans="1:1" x14ac:dyDescent="0.3">
      <c r="A374" s="124"/>
    </row>
    <row r="375" spans="1:1" x14ac:dyDescent="0.3">
      <c r="A375" s="124"/>
    </row>
    <row r="376" spans="1:1" x14ac:dyDescent="0.3">
      <c r="A376" s="124"/>
    </row>
    <row r="377" spans="1:1" x14ac:dyDescent="0.3">
      <c r="A377" s="124"/>
    </row>
    <row r="378" spans="1:1" x14ac:dyDescent="0.3">
      <c r="A378" s="124"/>
    </row>
    <row r="379" spans="1:1" x14ac:dyDescent="0.3">
      <c r="A379" s="124"/>
    </row>
    <row r="380" spans="1:1" x14ac:dyDescent="0.3">
      <c r="A380" s="124"/>
    </row>
    <row r="381" spans="1:1" x14ac:dyDescent="0.3">
      <c r="A381" s="124"/>
    </row>
    <row r="382" spans="1:1" x14ac:dyDescent="0.3">
      <c r="A382" s="124"/>
    </row>
    <row r="383" spans="1:1" x14ac:dyDescent="0.3">
      <c r="A383" s="124"/>
    </row>
    <row r="384" spans="1:1" x14ac:dyDescent="0.3">
      <c r="A384" s="124"/>
    </row>
    <row r="385" spans="1:1" x14ac:dyDescent="0.3">
      <c r="A385" s="124"/>
    </row>
    <row r="386" spans="1:1" x14ac:dyDescent="0.3">
      <c r="A386" s="124"/>
    </row>
    <row r="387" spans="1:1" x14ac:dyDescent="0.3">
      <c r="A387" s="124"/>
    </row>
    <row r="388" spans="1:1" x14ac:dyDescent="0.3">
      <c r="A388" s="124"/>
    </row>
    <row r="389" spans="1:1" x14ac:dyDescent="0.3">
      <c r="A389" s="124"/>
    </row>
    <row r="390" spans="1:1" x14ac:dyDescent="0.3">
      <c r="A390" s="124"/>
    </row>
    <row r="391" spans="1:1" x14ac:dyDescent="0.3">
      <c r="A391" s="124"/>
    </row>
    <row r="392" spans="1:1" x14ac:dyDescent="0.3">
      <c r="A392" s="124"/>
    </row>
    <row r="393" spans="1:1" x14ac:dyDescent="0.3">
      <c r="A393" s="124"/>
    </row>
    <row r="394" spans="1:1" x14ac:dyDescent="0.3">
      <c r="A394" s="124"/>
    </row>
    <row r="395" spans="1:1" x14ac:dyDescent="0.3">
      <c r="A395" s="124"/>
    </row>
    <row r="396" spans="1:1" x14ac:dyDescent="0.3">
      <c r="A396" s="124"/>
    </row>
    <row r="397" spans="1:1" x14ac:dyDescent="0.3">
      <c r="A397" s="124"/>
    </row>
    <row r="398" spans="1:1" x14ac:dyDescent="0.3">
      <c r="A398" s="124"/>
    </row>
    <row r="399" spans="1:1" x14ac:dyDescent="0.3">
      <c r="A399" s="124"/>
    </row>
    <row r="400" spans="1:1" x14ac:dyDescent="0.3">
      <c r="A400" s="124"/>
    </row>
    <row r="401" spans="1:1" x14ac:dyDescent="0.3">
      <c r="A401" s="124"/>
    </row>
    <row r="402" spans="1:1" x14ac:dyDescent="0.3">
      <c r="A402" s="124"/>
    </row>
    <row r="403" spans="1:1" x14ac:dyDescent="0.3">
      <c r="A403" s="124"/>
    </row>
    <row r="404" spans="1:1" x14ac:dyDescent="0.3">
      <c r="A404" s="124"/>
    </row>
    <row r="405" spans="1:1" x14ac:dyDescent="0.3">
      <c r="A405" s="124"/>
    </row>
    <row r="406" spans="1:1" x14ac:dyDescent="0.3">
      <c r="A406" s="124"/>
    </row>
    <row r="407" spans="1:1" x14ac:dyDescent="0.3">
      <c r="A407" s="124"/>
    </row>
    <row r="408" spans="1:1" x14ac:dyDescent="0.3">
      <c r="A408" s="124"/>
    </row>
    <row r="409" spans="1:1" x14ac:dyDescent="0.3">
      <c r="A409" s="124"/>
    </row>
    <row r="410" spans="1:1" x14ac:dyDescent="0.3">
      <c r="A410" s="124"/>
    </row>
    <row r="411" spans="1:1" x14ac:dyDescent="0.3">
      <c r="A411" s="124"/>
    </row>
    <row r="412" spans="1:1" x14ac:dyDescent="0.3">
      <c r="A412" s="124"/>
    </row>
    <row r="413" spans="1:1" x14ac:dyDescent="0.3">
      <c r="A413" s="124"/>
    </row>
    <row r="414" spans="1:1" x14ac:dyDescent="0.3">
      <c r="A414" s="124"/>
    </row>
    <row r="415" spans="1:1" x14ac:dyDescent="0.3">
      <c r="A415" s="124"/>
    </row>
    <row r="416" spans="1:1" x14ac:dyDescent="0.3">
      <c r="A416" s="124"/>
    </row>
    <row r="417" spans="1:1" x14ac:dyDescent="0.3">
      <c r="A417" s="124"/>
    </row>
    <row r="418" spans="1:1" x14ac:dyDescent="0.3">
      <c r="A418" s="124"/>
    </row>
    <row r="419" spans="1:1" x14ac:dyDescent="0.3">
      <c r="A419" s="124"/>
    </row>
    <row r="420" spans="1:1" x14ac:dyDescent="0.3">
      <c r="A420" s="124"/>
    </row>
    <row r="421" spans="1:1" x14ac:dyDescent="0.3">
      <c r="A421" s="124"/>
    </row>
    <row r="422" spans="1:1" x14ac:dyDescent="0.3">
      <c r="A422" s="124"/>
    </row>
    <row r="423" spans="1:1" x14ac:dyDescent="0.3">
      <c r="A423" s="124"/>
    </row>
    <row r="424" spans="1:1" x14ac:dyDescent="0.3">
      <c r="A424" s="124"/>
    </row>
    <row r="425" spans="1:1" x14ac:dyDescent="0.3">
      <c r="A425" s="124"/>
    </row>
    <row r="426" spans="1:1" x14ac:dyDescent="0.3">
      <c r="A426" s="124"/>
    </row>
    <row r="427" spans="1:1" x14ac:dyDescent="0.3">
      <c r="A427" s="124"/>
    </row>
    <row r="428" spans="1:1" x14ac:dyDescent="0.3">
      <c r="A428" s="124"/>
    </row>
    <row r="429" spans="1:1" x14ac:dyDescent="0.3">
      <c r="A429" s="124"/>
    </row>
    <row r="430" spans="1:1" x14ac:dyDescent="0.3">
      <c r="A430" s="124"/>
    </row>
    <row r="431" spans="1:1" x14ac:dyDescent="0.3">
      <c r="A431" s="124"/>
    </row>
    <row r="432" spans="1:1" x14ac:dyDescent="0.3">
      <c r="A432" s="124"/>
    </row>
    <row r="433" spans="1:1" x14ac:dyDescent="0.3">
      <c r="A433" s="124"/>
    </row>
    <row r="434" spans="1:1" x14ac:dyDescent="0.3">
      <c r="A434" s="124"/>
    </row>
    <row r="435" spans="1:1" x14ac:dyDescent="0.3">
      <c r="A435" s="124"/>
    </row>
    <row r="436" spans="1:1" x14ac:dyDescent="0.3">
      <c r="A436" s="124"/>
    </row>
    <row r="437" spans="1:1" x14ac:dyDescent="0.3">
      <c r="A437" s="124"/>
    </row>
    <row r="438" spans="1:1" x14ac:dyDescent="0.3">
      <c r="A438" s="124"/>
    </row>
    <row r="439" spans="1:1" x14ac:dyDescent="0.3">
      <c r="A439" s="124"/>
    </row>
    <row r="440" spans="1:1" x14ac:dyDescent="0.3">
      <c r="A440" s="124"/>
    </row>
    <row r="441" spans="1:1" x14ac:dyDescent="0.3">
      <c r="A441" s="124"/>
    </row>
    <row r="442" spans="1:1" x14ac:dyDescent="0.3">
      <c r="A442" s="124"/>
    </row>
    <row r="443" spans="1:1" x14ac:dyDescent="0.3">
      <c r="A443" s="124"/>
    </row>
    <row r="444" spans="1:1" x14ac:dyDescent="0.3">
      <c r="A444" s="124"/>
    </row>
    <row r="445" spans="1:1" x14ac:dyDescent="0.3">
      <c r="A445" s="124"/>
    </row>
    <row r="446" spans="1:1" x14ac:dyDescent="0.3">
      <c r="A446" s="124"/>
    </row>
    <row r="447" spans="1:1" x14ac:dyDescent="0.3">
      <c r="A447" s="124"/>
    </row>
    <row r="448" spans="1:1" x14ac:dyDescent="0.3">
      <c r="A448" s="124"/>
    </row>
    <row r="449" spans="1:1" x14ac:dyDescent="0.3">
      <c r="A449" s="124"/>
    </row>
    <row r="450" spans="1:1" x14ac:dyDescent="0.3">
      <c r="A450" s="124"/>
    </row>
    <row r="451" spans="1:1" x14ac:dyDescent="0.3">
      <c r="A451" s="124"/>
    </row>
    <row r="452" spans="1:1" x14ac:dyDescent="0.3">
      <c r="A452" s="124"/>
    </row>
    <row r="453" spans="1:1" x14ac:dyDescent="0.3">
      <c r="A453" s="124"/>
    </row>
    <row r="454" spans="1:1" x14ac:dyDescent="0.3">
      <c r="A454" s="124"/>
    </row>
    <row r="455" spans="1:1" x14ac:dyDescent="0.3">
      <c r="A455" s="124"/>
    </row>
    <row r="456" spans="1:1" x14ac:dyDescent="0.3">
      <c r="A456" s="124"/>
    </row>
    <row r="457" spans="1:1" x14ac:dyDescent="0.3">
      <c r="A457" s="124"/>
    </row>
    <row r="458" spans="1:1" x14ac:dyDescent="0.3">
      <c r="A458" s="124"/>
    </row>
    <row r="459" spans="1:1" x14ac:dyDescent="0.3">
      <c r="A459" s="124"/>
    </row>
    <row r="460" spans="1:1" x14ac:dyDescent="0.3">
      <c r="A460" s="124"/>
    </row>
    <row r="461" spans="1:1" x14ac:dyDescent="0.3">
      <c r="A461" s="124"/>
    </row>
    <row r="462" spans="1:1" x14ac:dyDescent="0.3">
      <c r="A462" s="124"/>
    </row>
    <row r="463" spans="1:1" x14ac:dyDescent="0.3">
      <c r="A463" s="124"/>
    </row>
    <row r="464" spans="1:1" x14ac:dyDescent="0.3">
      <c r="A464" s="124"/>
    </row>
    <row r="465" spans="1:1" x14ac:dyDescent="0.3">
      <c r="A465" s="124"/>
    </row>
    <row r="466" spans="1:1" x14ac:dyDescent="0.3">
      <c r="A466" s="124"/>
    </row>
    <row r="467" spans="1:1" x14ac:dyDescent="0.3">
      <c r="A467" s="124"/>
    </row>
    <row r="468" spans="1:1" x14ac:dyDescent="0.3">
      <c r="A468" s="124"/>
    </row>
    <row r="469" spans="1:1" x14ac:dyDescent="0.3">
      <c r="A469" s="124"/>
    </row>
    <row r="470" spans="1:1" x14ac:dyDescent="0.3">
      <c r="A470" s="124"/>
    </row>
    <row r="471" spans="1:1" x14ac:dyDescent="0.3">
      <c r="A471" s="124"/>
    </row>
    <row r="472" spans="1:1" x14ac:dyDescent="0.3">
      <c r="A472" s="124"/>
    </row>
    <row r="473" spans="1:1" x14ac:dyDescent="0.3">
      <c r="A473" s="124"/>
    </row>
    <row r="474" spans="1:1" x14ac:dyDescent="0.3">
      <c r="A474" s="124"/>
    </row>
    <row r="475" spans="1:1" x14ac:dyDescent="0.3">
      <c r="A475" s="124"/>
    </row>
    <row r="476" spans="1:1" x14ac:dyDescent="0.3">
      <c r="A476" s="124"/>
    </row>
    <row r="477" spans="1:1" x14ac:dyDescent="0.3">
      <c r="A477" s="124"/>
    </row>
    <row r="478" spans="1:1" x14ac:dyDescent="0.3">
      <c r="A478" s="124"/>
    </row>
    <row r="479" spans="1:1" x14ac:dyDescent="0.3">
      <c r="A479" s="124"/>
    </row>
    <row r="480" spans="1:1" x14ac:dyDescent="0.3">
      <c r="A480" s="124"/>
    </row>
    <row r="481" spans="1:1" x14ac:dyDescent="0.3">
      <c r="A481" s="124"/>
    </row>
    <row r="482" spans="1:1" x14ac:dyDescent="0.3">
      <c r="A482" s="124"/>
    </row>
    <row r="483" spans="1:1" x14ac:dyDescent="0.3">
      <c r="A483" s="124"/>
    </row>
    <row r="484" spans="1:1" x14ac:dyDescent="0.3">
      <c r="A484" s="124"/>
    </row>
    <row r="485" spans="1:1" x14ac:dyDescent="0.3">
      <c r="A485" s="124"/>
    </row>
    <row r="486" spans="1:1" x14ac:dyDescent="0.3">
      <c r="A486" s="124"/>
    </row>
    <row r="487" spans="1:1" x14ac:dyDescent="0.3">
      <c r="A487" s="124"/>
    </row>
    <row r="488" spans="1:1" x14ac:dyDescent="0.3">
      <c r="A488" s="124"/>
    </row>
    <row r="489" spans="1:1" x14ac:dyDescent="0.3">
      <c r="A489" s="124"/>
    </row>
    <row r="490" spans="1:1" x14ac:dyDescent="0.3">
      <c r="A490" s="124"/>
    </row>
    <row r="491" spans="1:1" x14ac:dyDescent="0.3">
      <c r="A491" s="124"/>
    </row>
    <row r="492" spans="1:1" x14ac:dyDescent="0.3">
      <c r="A492" s="124"/>
    </row>
    <row r="493" spans="1:1" x14ac:dyDescent="0.3">
      <c r="A493" s="124"/>
    </row>
    <row r="494" spans="1:1" x14ac:dyDescent="0.3">
      <c r="A494" s="124"/>
    </row>
    <row r="495" spans="1:1" x14ac:dyDescent="0.3">
      <c r="A495" s="124"/>
    </row>
    <row r="496" spans="1:1" x14ac:dyDescent="0.3">
      <c r="A496" s="124"/>
    </row>
    <row r="497" spans="1:1" x14ac:dyDescent="0.3">
      <c r="A497" s="124"/>
    </row>
    <row r="498" spans="1:1" x14ac:dyDescent="0.3">
      <c r="A498" s="124"/>
    </row>
    <row r="499" spans="1:1" x14ac:dyDescent="0.3">
      <c r="A499" s="124"/>
    </row>
    <row r="500" spans="1:1" x14ac:dyDescent="0.3">
      <c r="A500" s="124"/>
    </row>
    <row r="501" spans="1:1" x14ac:dyDescent="0.3">
      <c r="A501" s="124"/>
    </row>
    <row r="502" spans="1:1" x14ac:dyDescent="0.3">
      <c r="A502" s="124"/>
    </row>
    <row r="503" spans="1:1" x14ac:dyDescent="0.3">
      <c r="A503" s="124"/>
    </row>
    <row r="504" spans="1:1" x14ac:dyDescent="0.3">
      <c r="A504" s="124"/>
    </row>
    <row r="505" spans="1:1" x14ac:dyDescent="0.3">
      <c r="A505" s="124"/>
    </row>
    <row r="506" spans="1:1" x14ac:dyDescent="0.3">
      <c r="A506" s="124"/>
    </row>
    <row r="507" spans="1:1" x14ac:dyDescent="0.3">
      <c r="A507" s="124"/>
    </row>
    <row r="508" spans="1:1" x14ac:dyDescent="0.3">
      <c r="A508" s="124"/>
    </row>
    <row r="509" spans="1:1" x14ac:dyDescent="0.3">
      <c r="A509" s="124"/>
    </row>
    <row r="510" spans="1:1" x14ac:dyDescent="0.3">
      <c r="A510" s="124"/>
    </row>
    <row r="511" spans="1:1" x14ac:dyDescent="0.3">
      <c r="A511" s="124"/>
    </row>
    <row r="512" spans="1:1" x14ac:dyDescent="0.3">
      <c r="A512" s="124"/>
    </row>
    <row r="513" spans="1:1" x14ac:dyDescent="0.3">
      <c r="A513" s="124"/>
    </row>
    <row r="514" spans="1:1" x14ac:dyDescent="0.3">
      <c r="A514" s="124"/>
    </row>
    <row r="515" spans="1:1" x14ac:dyDescent="0.3">
      <c r="A515" s="124"/>
    </row>
    <row r="516" spans="1:1" x14ac:dyDescent="0.3">
      <c r="A516" s="124"/>
    </row>
    <row r="517" spans="1:1" x14ac:dyDescent="0.3">
      <c r="A517" s="124"/>
    </row>
    <row r="518" spans="1:1" x14ac:dyDescent="0.3">
      <c r="A518" s="124"/>
    </row>
    <row r="519" spans="1:1" x14ac:dyDescent="0.3">
      <c r="A519" s="124"/>
    </row>
    <row r="520" spans="1:1" x14ac:dyDescent="0.3">
      <c r="A520" s="124"/>
    </row>
    <row r="521" spans="1:1" x14ac:dyDescent="0.3">
      <c r="A521" s="124"/>
    </row>
    <row r="522" spans="1:1" x14ac:dyDescent="0.3">
      <c r="A522" s="124"/>
    </row>
    <row r="523" spans="1:1" x14ac:dyDescent="0.3">
      <c r="A523" s="124"/>
    </row>
    <row r="524" spans="1:1" x14ac:dyDescent="0.3">
      <c r="A524" s="124"/>
    </row>
    <row r="525" spans="1:1" x14ac:dyDescent="0.3">
      <c r="A525" s="124"/>
    </row>
    <row r="526" spans="1:1" x14ac:dyDescent="0.3">
      <c r="A526" s="124"/>
    </row>
    <row r="527" spans="1:1" x14ac:dyDescent="0.3">
      <c r="A527" s="124"/>
    </row>
    <row r="528" spans="1:1" x14ac:dyDescent="0.3">
      <c r="A528" s="124"/>
    </row>
    <row r="529" spans="1:1" x14ac:dyDescent="0.3">
      <c r="A529" s="124"/>
    </row>
    <row r="530" spans="1:1" x14ac:dyDescent="0.3">
      <c r="A530" s="124"/>
    </row>
    <row r="531" spans="1:1" x14ac:dyDescent="0.3">
      <c r="A531" s="124"/>
    </row>
    <row r="532" spans="1:1" x14ac:dyDescent="0.3">
      <c r="A532" s="124"/>
    </row>
    <row r="533" spans="1:1" x14ac:dyDescent="0.3">
      <c r="A533" s="124"/>
    </row>
    <row r="534" spans="1:1" x14ac:dyDescent="0.3">
      <c r="A534" s="124"/>
    </row>
    <row r="535" spans="1:1" x14ac:dyDescent="0.3">
      <c r="A535" s="124"/>
    </row>
    <row r="536" spans="1:1" x14ac:dyDescent="0.3">
      <c r="A536" s="124"/>
    </row>
    <row r="537" spans="1:1" x14ac:dyDescent="0.3">
      <c r="A537" s="124"/>
    </row>
    <row r="538" spans="1:1" x14ac:dyDescent="0.3">
      <c r="A538" s="124"/>
    </row>
    <row r="539" spans="1:1" x14ac:dyDescent="0.3">
      <c r="A539" s="124"/>
    </row>
    <row r="540" spans="1:1" x14ac:dyDescent="0.3">
      <c r="A540" s="124"/>
    </row>
    <row r="541" spans="1:1" x14ac:dyDescent="0.3">
      <c r="A541" s="124"/>
    </row>
    <row r="542" spans="1:1" x14ac:dyDescent="0.3">
      <c r="A542" s="124"/>
    </row>
    <row r="543" spans="1:1" x14ac:dyDescent="0.3">
      <c r="A543" s="124"/>
    </row>
    <row r="544" spans="1:1" x14ac:dyDescent="0.3">
      <c r="A544" s="124"/>
    </row>
    <row r="545" spans="1:1" x14ac:dyDescent="0.3">
      <c r="A545" s="124"/>
    </row>
    <row r="546" spans="1:1" x14ac:dyDescent="0.3">
      <c r="A546" s="124"/>
    </row>
    <row r="547" spans="1:1" x14ac:dyDescent="0.3">
      <c r="A547" s="124"/>
    </row>
    <row r="548" spans="1:1" x14ac:dyDescent="0.3">
      <c r="A548" s="124"/>
    </row>
    <row r="549" spans="1:1" x14ac:dyDescent="0.3">
      <c r="A549" s="124"/>
    </row>
    <row r="550" spans="1:1" x14ac:dyDescent="0.3">
      <c r="A550" s="124"/>
    </row>
    <row r="551" spans="1:1" x14ac:dyDescent="0.3">
      <c r="A551" s="124"/>
    </row>
    <row r="552" spans="1:1" x14ac:dyDescent="0.3">
      <c r="A552" s="124"/>
    </row>
    <row r="553" spans="1:1" x14ac:dyDescent="0.3">
      <c r="A553" s="124"/>
    </row>
    <row r="554" spans="1:1" x14ac:dyDescent="0.3">
      <c r="A554" s="124"/>
    </row>
    <row r="555" spans="1:1" x14ac:dyDescent="0.3">
      <c r="A555" s="124"/>
    </row>
    <row r="556" spans="1:1" x14ac:dyDescent="0.3">
      <c r="A556" s="124"/>
    </row>
    <row r="557" spans="1:1" x14ac:dyDescent="0.3">
      <c r="A557" s="124"/>
    </row>
    <row r="558" spans="1:1" x14ac:dyDescent="0.3">
      <c r="A558" s="124"/>
    </row>
    <row r="559" spans="1:1" x14ac:dyDescent="0.3">
      <c r="A559" s="124"/>
    </row>
    <row r="560" spans="1:1" x14ac:dyDescent="0.3">
      <c r="A560" s="124"/>
    </row>
    <row r="561" spans="1:1" x14ac:dyDescent="0.3">
      <c r="A561" s="124"/>
    </row>
    <row r="562" spans="1:1" x14ac:dyDescent="0.3">
      <c r="A562" s="124"/>
    </row>
    <row r="563" spans="1:1" x14ac:dyDescent="0.3">
      <c r="A563" s="124"/>
    </row>
    <row r="564" spans="1:1" x14ac:dyDescent="0.3">
      <c r="A564" s="124"/>
    </row>
    <row r="565" spans="1:1" x14ac:dyDescent="0.3">
      <c r="A565" s="124"/>
    </row>
    <row r="566" spans="1:1" x14ac:dyDescent="0.3">
      <c r="A566" s="124"/>
    </row>
    <row r="567" spans="1:1" x14ac:dyDescent="0.3">
      <c r="A567" s="124"/>
    </row>
    <row r="568" spans="1:1" x14ac:dyDescent="0.3">
      <c r="A568" s="124"/>
    </row>
    <row r="569" spans="1:1" x14ac:dyDescent="0.3">
      <c r="A569" s="124"/>
    </row>
    <row r="570" spans="1:1" x14ac:dyDescent="0.3">
      <c r="A570" s="124"/>
    </row>
    <row r="571" spans="1:1" x14ac:dyDescent="0.3">
      <c r="A571" s="124"/>
    </row>
    <row r="572" spans="1:1" x14ac:dyDescent="0.3">
      <c r="A572" s="124"/>
    </row>
    <row r="573" spans="1:1" x14ac:dyDescent="0.3">
      <c r="A573" s="124"/>
    </row>
    <row r="574" spans="1:1" x14ac:dyDescent="0.3">
      <c r="A574" s="124"/>
    </row>
    <row r="575" spans="1:1" x14ac:dyDescent="0.3">
      <c r="A575" s="124"/>
    </row>
    <row r="576" spans="1:1" x14ac:dyDescent="0.3">
      <c r="A576" s="124"/>
    </row>
    <row r="577" spans="1:1" x14ac:dyDescent="0.3">
      <c r="A577" s="124"/>
    </row>
    <row r="578" spans="1:1" x14ac:dyDescent="0.3">
      <c r="A578" s="124"/>
    </row>
    <row r="579" spans="1:1" x14ac:dyDescent="0.3">
      <c r="A579" s="124"/>
    </row>
    <row r="580" spans="1:1" x14ac:dyDescent="0.3">
      <c r="A580" s="124"/>
    </row>
    <row r="581" spans="1:1" x14ac:dyDescent="0.3">
      <c r="A581" s="124"/>
    </row>
    <row r="582" spans="1:1" x14ac:dyDescent="0.3">
      <c r="A582" s="124"/>
    </row>
    <row r="583" spans="1:1" x14ac:dyDescent="0.3">
      <c r="A583" s="124"/>
    </row>
    <row r="584" spans="1:1" x14ac:dyDescent="0.3">
      <c r="A584" s="124"/>
    </row>
    <row r="585" spans="1:1" x14ac:dyDescent="0.3">
      <c r="A585" s="124"/>
    </row>
    <row r="586" spans="1:1" x14ac:dyDescent="0.3">
      <c r="A586" s="124"/>
    </row>
    <row r="587" spans="1:1" x14ac:dyDescent="0.3">
      <c r="A587" s="124"/>
    </row>
    <row r="588" spans="1:1" x14ac:dyDescent="0.3">
      <c r="A588" s="124"/>
    </row>
    <row r="589" spans="1:1" x14ac:dyDescent="0.3">
      <c r="A589" s="124"/>
    </row>
    <row r="590" spans="1:1" x14ac:dyDescent="0.3">
      <c r="A590" s="124"/>
    </row>
    <row r="591" spans="1:1" x14ac:dyDescent="0.3">
      <c r="A591" s="124"/>
    </row>
    <row r="592" spans="1:1" x14ac:dyDescent="0.3">
      <c r="A592" s="124"/>
    </row>
    <row r="593" spans="1:1" x14ac:dyDescent="0.3">
      <c r="A593" s="124"/>
    </row>
    <row r="594" spans="1:1" x14ac:dyDescent="0.3">
      <c r="A594" s="124"/>
    </row>
    <row r="595" spans="1:1" x14ac:dyDescent="0.3">
      <c r="A595" s="124"/>
    </row>
    <row r="596" spans="1:1" x14ac:dyDescent="0.3">
      <c r="A596" s="124"/>
    </row>
    <row r="597" spans="1:1" x14ac:dyDescent="0.3">
      <c r="A597" s="124"/>
    </row>
    <row r="598" spans="1:1" x14ac:dyDescent="0.3">
      <c r="A598" s="124"/>
    </row>
    <row r="599" spans="1:1" x14ac:dyDescent="0.3">
      <c r="A599" s="124"/>
    </row>
    <row r="600" spans="1:1" x14ac:dyDescent="0.3">
      <c r="A600" s="124"/>
    </row>
    <row r="601" spans="1:1" x14ac:dyDescent="0.3">
      <c r="A601" s="124"/>
    </row>
    <row r="602" spans="1:1" x14ac:dyDescent="0.3">
      <c r="A602" s="124"/>
    </row>
    <row r="603" spans="1:1" x14ac:dyDescent="0.3">
      <c r="A603" s="124"/>
    </row>
    <row r="604" spans="1:1" x14ac:dyDescent="0.3">
      <c r="A604" s="124"/>
    </row>
    <row r="605" spans="1:1" x14ac:dyDescent="0.3">
      <c r="A605" s="124"/>
    </row>
    <row r="606" spans="1:1" x14ac:dyDescent="0.3">
      <c r="A606" s="124"/>
    </row>
    <row r="607" spans="1:1" x14ac:dyDescent="0.3">
      <c r="A607" s="124"/>
    </row>
    <row r="608" spans="1:1" x14ac:dyDescent="0.3">
      <c r="A608" s="124"/>
    </row>
    <row r="609" spans="1:1" x14ac:dyDescent="0.3">
      <c r="A609" s="124"/>
    </row>
    <row r="610" spans="1:1" x14ac:dyDescent="0.3">
      <c r="A610" s="124"/>
    </row>
    <row r="611" spans="1:1" x14ac:dyDescent="0.3">
      <c r="A611" s="124"/>
    </row>
    <row r="612" spans="1:1" x14ac:dyDescent="0.3">
      <c r="A612" s="124"/>
    </row>
    <row r="613" spans="1:1" x14ac:dyDescent="0.3">
      <c r="A613" s="124"/>
    </row>
    <row r="614" spans="1:1" x14ac:dyDescent="0.3">
      <c r="A614" s="124"/>
    </row>
    <row r="615" spans="1:1" x14ac:dyDescent="0.3">
      <c r="A615" s="124"/>
    </row>
    <row r="616" spans="1:1" x14ac:dyDescent="0.3">
      <c r="A616" s="124"/>
    </row>
    <row r="617" spans="1:1" x14ac:dyDescent="0.3">
      <c r="A617" s="124"/>
    </row>
    <row r="618" spans="1:1" x14ac:dyDescent="0.3">
      <c r="A618" s="124"/>
    </row>
    <row r="619" spans="1:1" x14ac:dyDescent="0.3">
      <c r="A619" s="124"/>
    </row>
    <row r="620" spans="1:1" x14ac:dyDescent="0.3">
      <c r="A620" s="124"/>
    </row>
    <row r="621" spans="1:1" x14ac:dyDescent="0.3">
      <c r="A621" s="124"/>
    </row>
    <row r="622" spans="1:1" x14ac:dyDescent="0.3">
      <c r="A622" s="124"/>
    </row>
    <row r="623" spans="1:1" x14ac:dyDescent="0.3">
      <c r="A623" s="124"/>
    </row>
    <row r="624" spans="1:1" x14ac:dyDescent="0.3">
      <c r="A624" s="124"/>
    </row>
    <row r="625" spans="1:1" x14ac:dyDescent="0.3">
      <c r="A625" s="124"/>
    </row>
    <row r="626" spans="1:1" x14ac:dyDescent="0.3">
      <c r="A626" s="124"/>
    </row>
    <row r="627" spans="1:1" x14ac:dyDescent="0.3">
      <c r="A627" s="124"/>
    </row>
    <row r="628" spans="1:1" x14ac:dyDescent="0.3">
      <c r="A628" s="124"/>
    </row>
    <row r="629" spans="1:1" x14ac:dyDescent="0.3">
      <c r="A629" s="124"/>
    </row>
    <row r="630" spans="1:1" x14ac:dyDescent="0.3">
      <c r="A630" s="124"/>
    </row>
    <row r="631" spans="1:1" x14ac:dyDescent="0.3">
      <c r="A631" s="124"/>
    </row>
    <row r="632" spans="1:1" x14ac:dyDescent="0.3">
      <c r="A632" s="124"/>
    </row>
    <row r="633" spans="1:1" x14ac:dyDescent="0.3">
      <c r="A633" s="124"/>
    </row>
    <row r="634" spans="1:1" x14ac:dyDescent="0.3">
      <c r="A634" s="124"/>
    </row>
    <row r="635" spans="1:1" x14ac:dyDescent="0.3">
      <c r="A635" s="124"/>
    </row>
    <row r="636" spans="1:1" x14ac:dyDescent="0.3">
      <c r="A636" s="124"/>
    </row>
    <row r="637" spans="1:1" x14ac:dyDescent="0.3">
      <c r="A637" s="124"/>
    </row>
    <row r="638" spans="1:1" x14ac:dyDescent="0.3">
      <c r="A638" s="124"/>
    </row>
    <row r="639" spans="1:1" x14ac:dyDescent="0.3">
      <c r="A639" s="124"/>
    </row>
    <row r="640" spans="1:1" x14ac:dyDescent="0.3">
      <c r="A640" s="124"/>
    </row>
    <row r="641" spans="1:1" x14ac:dyDescent="0.3">
      <c r="A641" s="124"/>
    </row>
    <row r="642" spans="1:1" x14ac:dyDescent="0.3">
      <c r="A642" s="124"/>
    </row>
    <row r="643" spans="1:1" x14ac:dyDescent="0.3">
      <c r="A643" s="124"/>
    </row>
    <row r="644" spans="1:1" x14ac:dyDescent="0.3">
      <c r="A644" s="124"/>
    </row>
    <row r="645" spans="1:1" x14ac:dyDescent="0.3">
      <c r="A645" s="124"/>
    </row>
    <row r="646" spans="1:1" x14ac:dyDescent="0.3">
      <c r="A646" s="124"/>
    </row>
    <row r="647" spans="1:1" x14ac:dyDescent="0.3">
      <c r="A647" s="124"/>
    </row>
    <row r="648" spans="1:1" x14ac:dyDescent="0.3">
      <c r="A648" s="124"/>
    </row>
    <row r="649" spans="1:1" x14ac:dyDescent="0.3">
      <c r="A649" s="124"/>
    </row>
    <row r="650" spans="1:1" x14ac:dyDescent="0.3">
      <c r="A650" s="124"/>
    </row>
    <row r="651" spans="1:1" x14ac:dyDescent="0.3">
      <c r="A651" s="124"/>
    </row>
    <row r="652" spans="1:1" x14ac:dyDescent="0.3">
      <c r="A652" s="124"/>
    </row>
    <row r="653" spans="1:1" x14ac:dyDescent="0.3">
      <c r="A653" s="124"/>
    </row>
    <row r="654" spans="1:1" x14ac:dyDescent="0.3">
      <c r="A654" s="124"/>
    </row>
    <row r="655" spans="1:1" x14ac:dyDescent="0.3">
      <c r="A655" s="124"/>
    </row>
    <row r="656" spans="1:1" x14ac:dyDescent="0.3">
      <c r="A656" s="124"/>
    </row>
    <row r="657" spans="1:1" x14ac:dyDescent="0.3">
      <c r="A657" s="124"/>
    </row>
    <row r="658" spans="1:1" x14ac:dyDescent="0.3">
      <c r="A658" s="124"/>
    </row>
    <row r="659" spans="1:1" x14ac:dyDescent="0.3">
      <c r="A659" s="124"/>
    </row>
    <row r="660" spans="1:1" x14ac:dyDescent="0.3">
      <c r="A660" s="124"/>
    </row>
    <row r="661" spans="1:1" x14ac:dyDescent="0.3">
      <c r="A661" s="124"/>
    </row>
    <row r="662" spans="1:1" x14ac:dyDescent="0.3">
      <c r="A662" s="124"/>
    </row>
    <row r="663" spans="1:1" x14ac:dyDescent="0.3">
      <c r="A663" s="124"/>
    </row>
    <row r="664" spans="1:1" x14ac:dyDescent="0.3">
      <c r="A664" s="124"/>
    </row>
    <row r="665" spans="1:1" x14ac:dyDescent="0.3">
      <c r="A665" s="124"/>
    </row>
    <row r="666" spans="1:1" x14ac:dyDescent="0.3">
      <c r="A666" s="124"/>
    </row>
    <row r="667" spans="1:1" x14ac:dyDescent="0.3">
      <c r="A667" s="124"/>
    </row>
    <row r="668" spans="1:1" x14ac:dyDescent="0.3">
      <c r="A668" s="124"/>
    </row>
    <row r="669" spans="1:1" x14ac:dyDescent="0.3">
      <c r="A669" s="124"/>
    </row>
    <row r="670" spans="1:1" x14ac:dyDescent="0.3">
      <c r="A670" s="124"/>
    </row>
    <row r="671" spans="1:1" x14ac:dyDescent="0.3">
      <c r="A671" s="124"/>
    </row>
    <row r="672" spans="1:1" x14ac:dyDescent="0.3">
      <c r="A672" s="124"/>
    </row>
    <row r="673" spans="1:1" x14ac:dyDescent="0.3">
      <c r="A673" s="124"/>
    </row>
    <row r="674" spans="1:1" x14ac:dyDescent="0.3">
      <c r="A674" s="124"/>
    </row>
    <row r="675" spans="1:1" x14ac:dyDescent="0.3">
      <c r="A675" s="124"/>
    </row>
    <row r="676" spans="1:1" x14ac:dyDescent="0.3">
      <c r="A676" s="124"/>
    </row>
    <row r="677" spans="1:1" x14ac:dyDescent="0.3">
      <c r="A677" s="124"/>
    </row>
    <row r="678" spans="1:1" x14ac:dyDescent="0.3">
      <c r="A678" s="124"/>
    </row>
    <row r="679" spans="1:1" x14ac:dyDescent="0.3">
      <c r="A679" s="124"/>
    </row>
    <row r="680" spans="1:1" x14ac:dyDescent="0.3">
      <c r="A680" s="124"/>
    </row>
    <row r="681" spans="1:1" x14ac:dyDescent="0.3">
      <c r="A681" s="124"/>
    </row>
    <row r="682" spans="1:1" x14ac:dyDescent="0.3">
      <c r="A682" s="124"/>
    </row>
    <row r="683" spans="1:1" x14ac:dyDescent="0.3">
      <c r="A683" s="124"/>
    </row>
    <row r="684" spans="1:1" x14ac:dyDescent="0.3">
      <c r="A684" s="124"/>
    </row>
    <row r="685" spans="1:1" x14ac:dyDescent="0.3">
      <c r="A685" s="124"/>
    </row>
    <row r="686" spans="1:1" x14ac:dyDescent="0.3">
      <c r="A686" s="124"/>
    </row>
    <row r="687" spans="1:1" x14ac:dyDescent="0.3">
      <c r="A687" s="124"/>
    </row>
    <row r="688" spans="1:1" x14ac:dyDescent="0.3">
      <c r="A688" s="124"/>
    </row>
    <row r="689" spans="1:1" x14ac:dyDescent="0.3">
      <c r="A689" s="124"/>
    </row>
    <row r="690" spans="1:1" x14ac:dyDescent="0.3">
      <c r="A690" s="124"/>
    </row>
    <row r="691" spans="1:1" x14ac:dyDescent="0.3">
      <c r="A691" s="124"/>
    </row>
    <row r="692" spans="1:1" x14ac:dyDescent="0.3">
      <c r="A692" s="124"/>
    </row>
    <row r="693" spans="1:1" x14ac:dyDescent="0.3">
      <c r="A693" s="124"/>
    </row>
    <row r="694" spans="1:1" x14ac:dyDescent="0.3">
      <c r="A694" s="124"/>
    </row>
    <row r="695" spans="1:1" x14ac:dyDescent="0.3">
      <c r="A695" s="124"/>
    </row>
    <row r="696" spans="1:1" x14ac:dyDescent="0.3">
      <c r="A696" s="124"/>
    </row>
    <row r="697" spans="1:1" x14ac:dyDescent="0.3">
      <c r="A697" s="124"/>
    </row>
    <row r="698" spans="1:1" x14ac:dyDescent="0.3">
      <c r="A698" s="124"/>
    </row>
    <row r="699" spans="1:1" x14ac:dyDescent="0.3">
      <c r="A699" s="124"/>
    </row>
    <row r="700" spans="1:1" x14ac:dyDescent="0.3">
      <c r="A700" s="124"/>
    </row>
    <row r="701" spans="1:1" x14ac:dyDescent="0.3">
      <c r="A701" s="124"/>
    </row>
    <row r="702" spans="1:1" x14ac:dyDescent="0.3">
      <c r="A702" s="124"/>
    </row>
    <row r="703" spans="1:1" x14ac:dyDescent="0.3">
      <c r="A703" s="124"/>
    </row>
    <row r="704" spans="1:1" x14ac:dyDescent="0.3">
      <c r="A704" s="124"/>
    </row>
    <row r="705" spans="1:1" x14ac:dyDescent="0.3">
      <c r="A705" s="124"/>
    </row>
    <row r="706" spans="1:1" x14ac:dyDescent="0.3">
      <c r="A706" s="124"/>
    </row>
    <row r="707" spans="1:1" x14ac:dyDescent="0.3">
      <c r="A707" s="124"/>
    </row>
    <row r="708" spans="1:1" x14ac:dyDescent="0.3">
      <c r="A708" s="124"/>
    </row>
    <row r="709" spans="1:1" x14ac:dyDescent="0.3">
      <c r="A709" s="124"/>
    </row>
    <row r="710" spans="1:1" x14ac:dyDescent="0.3">
      <c r="A710" s="124"/>
    </row>
    <row r="711" spans="1:1" x14ac:dyDescent="0.3">
      <c r="A711" s="124"/>
    </row>
    <row r="712" spans="1:1" x14ac:dyDescent="0.3">
      <c r="A712" s="124"/>
    </row>
    <row r="713" spans="1:1" x14ac:dyDescent="0.3">
      <c r="A713" s="124"/>
    </row>
    <row r="714" spans="1:1" x14ac:dyDescent="0.3">
      <c r="A714" s="124"/>
    </row>
    <row r="715" spans="1:1" x14ac:dyDescent="0.3">
      <c r="A715" s="124"/>
    </row>
    <row r="716" spans="1:1" x14ac:dyDescent="0.3">
      <c r="A716" s="124"/>
    </row>
    <row r="717" spans="1:1" x14ac:dyDescent="0.3">
      <c r="A717" s="124"/>
    </row>
    <row r="718" spans="1:1" x14ac:dyDescent="0.3">
      <c r="A718" s="124"/>
    </row>
    <row r="719" spans="1:1" x14ac:dyDescent="0.3">
      <c r="A719" s="124"/>
    </row>
    <row r="720" spans="1:1" x14ac:dyDescent="0.3">
      <c r="A720" s="124"/>
    </row>
    <row r="721" spans="1:1" x14ac:dyDescent="0.3">
      <c r="A721" s="124"/>
    </row>
    <row r="722" spans="1:1" x14ac:dyDescent="0.3">
      <c r="A722" s="124"/>
    </row>
    <row r="723" spans="1:1" x14ac:dyDescent="0.3">
      <c r="A723" s="124"/>
    </row>
    <row r="724" spans="1:1" x14ac:dyDescent="0.3">
      <c r="A724" s="124"/>
    </row>
    <row r="725" spans="1:1" x14ac:dyDescent="0.3">
      <c r="A725" s="124"/>
    </row>
    <row r="726" spans="1:1" x14ac:dyDescent="0.3">
      <c r="A726" s="124"/>
    </row>
    <row r="727" spans="1:1" x14ac:dyDescent="0.3">
      <c r="A727" s="124"/>
    </row>
    <row r="728" spans="1:1" x14ac:dyDescent="0.3">
      <c r="A728" s="124"/>
    </row>
    <row r="729" spans="1:1" x14ac:dyDescent="0.3">
      <c r="A729" s="124"/>
    </row>
    <row r="730" spans="1:1" x14ac:dyDescent="0.3">
      <c r="A730" s="124"/>
    </row>
    <row r="731" spans="1:1" x14ac:dyDescent="0.3">
      <c r="A731" s="124"/>
    </row>
    <row r="732" spans="1:1" x14ac:dyDescent="0.3">
      <c r="A732" s="124"/>
    </row>
    <row r="733" spans="1:1" x14ac:dyDescent="0.3">
      <c r="A733" s="124"/>
    </row>
    <row r="734" spans="1:1" x14ac:dyDescent="0.3">
      <c r="A734" s="124"/>
    </row>
    <row r="735" spans="1:1" x14ac:dyDescent="0.3">
      <c r="A735" s="124"/>
    </row>
    <row r="736" spans="1:1" x14ac:dyDescent="0.3">
      <c r="A736" s="124"/>
    </row>
    <row r="737" spans="1:1" x14ac:dyDescent="0.3">
      <c r="A737" s="124"/>
    </row>
    <row r="738" spans="1:1" x14ac:dyDescent="0.3">
      <c r="A738" s="124"/>
    </row>
    <row r="739" spans="1:1" x14ac:dyDescent="0.3">
      <c r="A739" s="124"/>
    </row>
    <row r="740" spans="1:1" x14ac:dyDescent="0.3">
      <c r="A740" s="125"/>
    </row>
    <row r="741" spans="1:1" x14ac:dyDescent="0.3">
      <c r="A741" s="125"/>
    </row>
    <row r="742" spans="1:1" x14ac:dyDescent="0.3">
      <c r="A742" s="125"/>
    </row>
    <row r="743" spans="1:1" x14ac:dyDescent="0.3">
      <c r="A743" s="124"/>
    </row>
    <row r="744" spans="1:1" x14ac:dyDescent="0.3">
      <c r="A744" s="124"/>
    </row>
    <row r="745" spans="1:1" x14ac:dyDescent="0.3">
      <c r="A745" s="124"/>
    </row>
    <row r="746" spans="1:1" x14ac:dyDescent="0.3">
      <c r="A746" s="124"/>
    </row>
    <row r="747" spans="1:1" x14ac:dyDescent="0.3">
      <c r="A747" s="124"/>
    </row>
    <row r="748" spans="1:1" x14ac:dyDescent="0.3">
      <c r="A748" s="12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Feriados</vt:lpstr>
      <vt:lpstr>Resumo estatístico Futuro DI</vt:lpstr>
      <vt:lpstr>DI Futuro</vt:lpstr>
      <vt:lpstr>Histórico DI Futuro</vt:lpstr>
      <vt:lpstr>Projeção DI Futuro</vt:lpstr>
      <vt:lpstr>DI Futuro até o Vencimento</vt:lpstr>
      <vt:lpstr>Comprado X Vendido</vt:lpstr>
      <vt:lpstr>LTN x DI Fut</vt:lpstr>
      <vt:lpstr>LTN x DI Fut Até Venc</vt:lpstr>
    </vt:vector>
  </TitlesOfParts>
  <Company>RFP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do Renda Fixa Prática</dc:title>
  <dc:creator>Jefferson Veiga Figueiredo</dc:creator>
  <cp:keywords>www.rendafixapratica.com.br</cp:keywords>
  <cp:lastModifiedBy>Jefferson Veiga Figueiredo</cp:lastModifiedBy>
  <dcterms:created xsi:type="dcterms:W3CDTF">2022-12-01T22:58:29Z</dcterms:created>
  <dcterms:modified xsi:type="dcterms:W3CDTF">2022-12-27T23:36:35Z</dcterms:modified>
</cp:coreProperties>
</file>