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RFP 03-2020\Curso Precificação\Planilhas\Para os Alunos\"/>
    </mc:Choice>
  </mc:AlternateContent>
  <xr:revisionPtr revIDLastSave="0" documentId="13_ncr:1_{31360A37-DD9B-4C36-A3CF-46819C5607A7}" xr6:coauthVersionLast="47" xr6:coauthVersionMax="47" xr10:uidLastSave="{00000000-0000-0000-0000-000000000000}"/>
  <bookViews>
    <workbookView xWindow="-108" yWindow="-108" windowWidth="23256" windowHeight="12456" firstSheet="8" activeTab="12" xr2:uid="{00000000-000D-0000-FFFF-FFFF00000000}"/>
  </bookViews>
  <sheets>
    <sheet name="Feriados" sheetId="1" r:id="rId1"/>
    <sheet name="Resumo estatístico Futuro DAP" sheetId="5" r:id="rId2"/>
    <sheet name="Ajustes B3" sheetId="12" r:id="rId3"/>
    <sheet name="DAP Futuro" sheetId="4" r:id="rId4"/>
    <sheet name="Simular PRT" sheetId="20" r:id="rId5"/>
    <sheet name="VNA e PRT" sheetId="15" r:id="rId6"/>
    <sheet name="Histórico DAP Futuro" sheetId="6" r:id="rId7"/>
    <sheet name="Comprado X Vendido DAP" sheetId="17" r:id="rId8"/>
    <sheet name="DAP até o Vencimento" sheetId="14" r:id="rId9"/>
    <sheet name="NTN-B x Dap Fut" sheetId="8" r:id="rId10"/>
    <sheet name="TD IPCA 24 Princ" sheetId="19" r:id="rId11"/>
    <sheet name="quantum q22" sheetId="16" r:id="rId12"/>
    <sheet name="quantum q24" sheetId="18" r:id="rId13"/>
  </sheets>
  <definedNames>
    <definedName name="_xlnm._FilterDatabase" localSheetId="9" hidden="1">'NTN-B x Dap Fut'!$B$1:$X$65</definedName>
    <definedName name="_xlnm._FilterDatabase" localSheetId="11" hidden="1">'quantum q22'!$A$1:$D$623</definedName>
    <definedName name="_xlnm._FilterDatabase" localSheetId="12" hidden="1">'quantum q24'!$A$1:$D$501</definedName>
    <definedName name="solver_eng" localSheetId="3" hidden="1">1</definedName>
    <definedName name="solver_neg" localSheetId="3" hidden="1">1</definedName>
    <definedName name="solver_num" localSheetId="3" hidden="1">0</definedName>
    <definedName name="solver_opt" localSheetId="3" hidden="1">'DAP Futuro'!$M$12</definedName>
    <definedName name="solver_typ" localSheetId="3" hidden="1">1</definedName>
    <definedName name="solver_val" localSheetId="3" hidden="1">0</definedName>
    <definedName name="solver_ver" localSheetId="3" hidden="1">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93" i="14" l="1"/>
  <c r="H98" i="14"/>
  <c r="H254" i="14"/>
  <c r="H3" i="14"/>
  <c r="C2" i="14"/>
  <c r="L67" i="8"/>
  <c r="E67" i="8"/>
  <c r="S3" i="8"/>
  <c r="S4" i="8"/>
  <c r="S5" i="8"/>
  <c r="S6" i="8"/>
  <c r="S7" i="8"/>
  <c r="S8" i="8"/>
  <c r="S9" i="8"/>
  <c r="S10" i="8"/>
  <c r="S11" i="8"/>
  <c r="S12" i="8"/>
  <c r="S13" i="8"/>
  <c r="S14" i="8"/>
  <c r="S15" i="8"/>
  <c r="S16" i="8"/>
  <c r="S17" i="8"/>
  <c r="S18" i="8"/>
  <c r="S19" i="8"/>
  <c r="S20" i="8"/>
  <c r="S21" i="8"/>
  <c r="S22" i="8"/>
  <c r="S23" i="8"/>
  <c r="S24" i="8"/>
  <c r="S25" i="8"/>
  <c r="S26" i="8"/>
  <c r="S27" i="8"/>
  <c r="S28" i="8"/>
  <c r="S29" i="8"/>
  <c r="S30" i="8"/>
  <c r="S31" i="8"/>
  <c r="S32" i="8"/>
  <c r="S33" i="8"/>
  <c r="S34" i="8"/>
  <c r="S35" i="8"/>
  <c r="S36" i="8"/>
  <c r="S37" i="8"/>
  <c r="S38" i="8"/>
  <c r="S39" i="8"/>
  <c r="S40" i="8"/>
  <c r="S41" i="8"/>
  <c r="S42" i="8"/>
  <c r="S43" i="8"/>
  <c r="S44" i="8"/>
  <c r="S45" i="8"/>
  <c r="S46" i="8"/>
  <c r="S47" i="8"/>
  <c r="S48" i="8"/>
  <c r="S49" i="8"/>
  <c r="S50" i="8"/>
  <c r="S51" i="8"/>
  <c r="S52" i="8"/>
  <c r="S53" i="8"/>
  <c r="S54" i="8"/>
  <c r="S55" i="8"/>
  <c r="S56" i="8"/>
  <c r="S57" i="8"/>
  <c r="S58" i="8"/>
  <c r="S59" i="8"/>
  <c r="S60" i="8"/>
  <c r="S61" i="8"/>
  <c r="S62" i="8"/>
  <c r="S63" i="8"/>
  <c r="S64" i="8"/>
  <c r="S65" i="8"/>
  <c r="S2" i="8"/>
  <c r="H256" i="14" l="1"/>
  <c r="S67" i="8"/>
  <c r="J254" i="14"/>
  <c r="J2" i="14"/>
  <c r="L98" i="14"/>
  <c r="I98" i="14"/>
  <c r="J98" i="14" s="1"/>
  <c r="G98" i="14"/>
  <c r="L93" i="14"/>
  <c r="I93" i="14"/>
  <c r="J93" i="14" s="1"/>
  <c r="G93" i="14"/>
  <c r="C93" i="14" s="1"/>
  <c r="D94" i="14" s="1"/>
  <c r="G3" i="14"/>
  <c r="G4" i="14"/>
  <c r="G5" i="14"/>
  <c r="G6" i="14"/>
  <c r="G7" i="14"/>
  <c r="G8" i="14"/>
  <c r="G9" i="14"/>
  <c r="G10" i="14"/>
  <c r="G11" i="14"/>
  <c r="G12" i="14"/>
  <c r="G13" i="14"/>
  <c r="G14" i="14"/>
  <c r="G15" i="14"/>
  <c r="G16" i="14"/>
  <c r="G17" i="14"/>
  <c r="G18" i="14"/>
  <c r="G19" i="14"/>
  <c r="G20" i="14"/>
  <c r="G21" i="14"/>
  <c r="G22" i="14"/>
  <c r="G23" i="14"/>
  <c r="G24" i="14"/>
  <c r="G25" i="14"/>
  <c r="G26" i="14"/>
  <c r="G27" i="14"/>
  <c r="G28" i="14"/>
  <c r="G29" i="14"/>
  <c r="G30" i="14"/>
  <c r="G31" i="14"/>
  <c r="G32" i="14"/>
  <c r="G33" i="14"/>
  <c r="G34" i="14"/>
  <c r="G35" i="14"/>
  <c r="G36" i="14"/>
  <c r="G37" i="14"/>
  <c r="G38" i="14"/>
  <c r="G39" i="14"/>
  <c r="G40" i="14"/>
  <c r="G41" i="14"/>
  <c r="G42" i="14"/>
  <c r="G43" i="14"/>
  <c r="G44" i="14"/>
  <c r="G45" i="14"/>
  <c r="G46" i="14"/>
  <c r="G47" i="14"/>
  <c r="G48" i="14"/>
  <c r="G49" i="14"/>
  <c r="G50" i="14"/>
  <c r="G51" i="14"/>
  <c r="G52" i="14"/>
  <c r="G53" i="14"/>
  <c r="G54" i="14"/>
  <c r="G55" i="14"/>
  <c r="G56" i="14"/>
  <c r="G57" i="14"/>
  <c r="G58" i="14"/>
  <c r="G59" i="14"/>
  <c r="G60" i="14"/>
  <c r="G61" i="14"/>
  <c r="G62" i="14"/>
  <c r="G63" i="14"/>
  <c r="G64" i="14"/>
  <c r="G65" i="14"/>
  <c r="G66" i="14"/>
  <c r="G67" i="14"/>
  <c r="G68" i="14"/>
  <c r="G69" i="14"/>
  <c r="G70" i="14"/>
  <c r="G71" i="14"/>
  <c r="G72" i="14"/>
  <c r="G73" i="14"/>
  <c r="G74" i="14"/>
  <c r="G75" i="14"/>
  <c r="G76" i="14"/>
  <c r="G77" i="14"/>
  <c r="G78" i="14"/>
  <c r="G79" i="14"/>
  <c r="G80" i="14"/>
  <c r="G81" i="14"/>
  <c r="G82" i="14"/>
  <c r="G83" i="14"/>
  <c r="G84" i="14"/>
  <c r="G85" i="14"/>
  <c r="G86" i="14"/>
  <c r="G87" i="14"/>
  <c r="G88" i="14"/>
  <c r="G89" i="14"/>
  <c r="G90" i="14"/>
  <c r="G91" i="14"/>
  <c r="G92" i="14"/>
  <c r="G94" i="14"/>
  <c r="G95" i="14"/>
  <c r="G96" i="14"/>
  <c r="G97" i="14"/>
  <c r="G99" i="14"/>
  <c r="G100" i="14"/>
  <c r="G101" i="14"/>
  <c r="G102" i="14"/>
  <c r="G103" i="14"/>
  <c r="G104" i="14"/>
  <c r="G105" i="14"/>
  <c r="G106" i="14"/>
  <c r="G107" i="14"/>
  <c r="G108" i="14"/>
  <c r="G109" i="14"/>
  <c r="G110" i="14"/>
  <c r="G111" i="14"/>
  <c r="G112" i="14"/>
  <c r="G113" i="14"/>
  <c r="G114" i="14"/>
  <c r="G115" i="14"/>
  <c r="G116" i="14"/>
  <c r="G117" i="14"/>
  <c r="G118" i="14"/>
  <c r="G119" i="14"/>
  <c r="G120" i="14"/>
  <c r="G121" i="14"/>
  <c r="G122" i="14"/>
  <c r="G123" i="14"/>
  <c r="G124" i="14"/>
  <c r="G125" i="14"/>
  <c r="G126" i="14"/>
  <c r="G127" i="14"/>
  <c r="G128" i="14"/>
  <c r="G129" i="14"/>
  <c r="G130" i="14"/>
  <c r="G131" i="14"/>
  <c r="G132" i="14"/>
  <c r="G133" i="14"/>
  <c r="G134" i="14"/>
  <c r="G135" i="14"/>
  <c r="G136" i="14"/>
  <c r="G137" i="14"/>
  <c r="G138" i="14"/>
  <c r="G139" i="14"/>
  <c r="G140" i="14"/>
  <c r="G141" i="14"/>
  <c r="G142" i="14"/>
  <c r="G143" i="14"/>
  <c r="G144" i="14"/>
  <c r="G145" i="14"/>
  <c r="G146" i="14"/>
  <c r="G147" i="14"/>
  <c r="G148" i="14"/>
  <c r="G149" i="14"/>
  <c r="G150" i="14"/>
  <c r="G151" i="14"/>
  <c r="G152" i="14"/>
  <c r="G153" i="14"/>
  <c r="G154" i="14"/>
  <c r="G155" i="14"/>
  <c r="G156" i="14"/>
  <c r="G157" i="14"/>
  <c r="G158" i="14"/>
  <c r="G159" i="14"/>
  <c r="G160" i="14"/>
  <c r="G161" i="14"/>
  <c r="G162" i="14"/>
  <c r="G163" i="14"/>
  <c r="G164" i="14"/>
  <c r="G165" i="14"/>
  <c r="G166" i="14"/>
  <c r="G167" i="14"/>
  <c r="G168" i="14"/>
  <c r="G169" i="14"/>
  <c r="G170" i="14"/>
  <c r="G171" i="14"/>
  <c r="G172" i="14"/>
  <c r="G173" i="14"/>
  <c r="G174" i="14"/>
  <c r="G175" i="14"/>
  <c r="G176" i="14"/>
  <c r="G177" i="14"/>
  <c r="G178" i="14"/>
  <c r="G179" i="14"/>
  <c r="G180" i="14"/>
  <c r="G181" i="14"/>
  <c r="G182" i="14"/>
  <c r="G183" i="14"/>
  <c r="G184" i="14"/>
  <c r="G185" i="14"/>
  <c r="G186" i="14"/>
  <c r="G187" i="14"/>
  <c r="G188" i="14"/>
  <c r="G189" i="14"/>
  <c r="G190" i="14"/>
  <c r="G191" i="14"/>
  <c r="G192" i="14"/>
  <c r="G193" i="14"/>
  <c r="G194" i="14"/>
  <c r="G195" i="14"/>
  <c r="G196" i="14"/>
  <c r="G197" i="14"/>
  <c r="G198" i="14"/>
  <c r="G199" i="14"/>
  <c r="G200" i="14"/>
  <c r="G201" i="14"/>
  <c r="G202" i="14"/>
  <c r="G203" i="14"/>
  <c r="G204" i="14"/>
  <c r="G205" i="14"/>
  <c r="G206" i="14"/>
  <c r="G207" i="14"/>
  <c r="G208" i="14"/>
  <c r="G209" i="14"/>
  <c r="G210" i="14"/>
  <c r="G211" i="14"/>
  <c r="G212" i="14"/>
  <c r="G213" i="14"/>
  <c r="G214" i="14"/>
  <c r="G215" i="14"/>
  <c r="G216" i="14"/>
  <c r="G217" i="14"/>
  <c r="G218" i="14"/>
  <c r="G219" i="14"/>
  <c r="G220" i="14"/>
  <c r="G221" i="14"/>
  <c r="G222" i="14"/>
  <c r="G223" i="14"/>
  <c r="G224" i="14"/>
  <c r="G225" i="14"/>
  <c r="G226" i="14"/>
  <c r="G227" i="14"/>
  <c r="G228" i="14"/>
  <c r="G229" i="14"/>
  <c r="G230" i="14"/>
  <c r="G231" i="14"/>
  <c r="G232" i="14"/>
  <c r="G233" i="14"/>
  <c r="G234" i="14"/>
  <c r="G235" i="14"/>
  <c r="G236" i="14"/>
  <c r="G237" i="14"/>
  <c r="G238" i="14"/>
  <c r="G239" i="14"/>
  <c r="G240" i="14"/>
  <c r="G241" i="14"/>
  <c r="G242" i="14"/>
  <c r="G243" i="14"/>
  <c r="G244" i="14"/>
  <c r="G245" i="14"/>
  <c r="G246" i="14"/>
  <c r="G247" i="14"/>
  <c r="G248" i="14"/>
  <c r="G249" i="14"/>
  <c r="G250" i="14"/>
  <c r="G251" i="14"/>
  <c r="G252" i="14"/>
  <c r="G253" i="14"/>
  <c r="F262" i="14"/>
  <c r="H4" i="17"/>
  <c r="H5" i="17" s="1"/>
  <c r="H6" i="17" s="1"/>
  <c r="H7" i="17" s="1"/>
  <c r="H8" i="17" s="1"/>
  <c r="H9" i="17" s="1"/>
  <c r="H10" i="17" s="1"/>
  <c r="H11" i="17" s="1"/>
  <c r="H12" i="17" s="1"/>
  <c r="H13" i="17" s="1"/>
  <c r="H14" i="17" s="1"/>
  <c r="H15" i="17" s="1"/>
  <c r="H16" i="17" s="1"/>
  <c r="H17" i="17" s="1"/>
  <c r="H18" i="17" s="1"/>
  <c r="H19" i="17" s="1"/>
  <c r="H20" i="17" s="1"/>
  <c r="H21" i="17" s="1"/>
  <c r="H22" i="17" s="1"/>
  <c r="J2" i="17"/>
  <c r="C25" i="20"/>
  <c r="C26" i="20" s="1"/>
  <c r="C27" i="20" s="1"/>
  <c r="C28" i="20" s="1"/>
  <c r="C29" i="20" s="1"/>
  <c r="C30" i="20" s="1"/>
  <c r="C31" i="20" s="1"/>
  <c r="C32" i="20" s="1"/>
  <c r="G4" i="15"/>
  <c r="G5" i="15" s="1"/>
  <c r="G6" i="15" s="1"/>
  <c r="G7" i="15" s="1"/>
  <c r="G8" i="15" s="1"/>
  <c r="G9" i="15" s="1"/>
  <c r="G10" i="15" s="1"/>
  <c r="G11" i="15" s="1"/>
  <c r="G12" i="15" s="1"/>
  <c r="G13" i="15" s="1"/>
  <c r="G14" i="15" s="1"/>
  <c r="G15" i="15" s="1"/>
  <c r="G16" i="15" s="1"/>
  <c r="G17" i="15" s="1"/>
  <c r="G18" i="15" s="1"/>
  <c r="G19" i="15" s="1"/>
  <c r="G20" i="15" s="1"/>
  <c r="G21" i="15" s="1"/>
  <c r="G22" i="15" s="1"/>
  <c r="G23" i="15" s="1"/>
  <c r="G24" i="15" s="1"/>
  <c r="G25" i="15" s="1"/>
  <c r="G26" i="15" s="1"/>
  <c r="G27" i="15" s="1"/>
  <c r="G28" i="15" s="1"/>
  <c r="G29" i="15" s="1"/>
  <c r="G30" i="15" s="1"/>
  <c r="G31" i="15" s="1"/>
  <c r="G32" i="15" s="1"/>
  <c r="G33" i="15" s="1"/>
  <c r="G34" i="15" s="1"/>
  <c r="G35" i="15" s="1"/>
  <c r="G36" i="15" s="1"/>
  <c r="G37" i="15" s="1"/>
  <c r="G38" i="15" s="1"/>
  <c r="G39" i="15" s="1"/>
  <c r="G40" i="15" s="1"/>
  <c r="G41" i="15" s="1"/>
  <c r="G42" i="15" s="1"/>
  <c r="G43" i="15" s="1"/>
  <c r="G44" i="15" s="1"/>
  <c r="G45" i="15" s="1"/>
  <c r="G46" i="15" s="1"/>
  <c r="G47" i="15" s="1"/>
  <c r="G48" i="15" s="1"/>
  <c r="G49" i="15" s="1"/>
  <c r="G50" i="15" s="1"/>
  <c r="G51" i="15" s="1"/>
  <c r="G52" i="15" s="1"/>
  <c r="G53" i="15" s="1"/>
  <c r="G54" i="15" s="1"/>
  <c r="G55" i="15" s="1"/>
  <c r="G56" i="15" s="1"/>
  <c r="G57" i="15" s="1"/>
  <c r="G58" i="15" s="1"/>
  <c r="G59" i="15" s="1"/>
  <c r="G60" i="15" s="1"/>
  <c r="G61" i="15" s="1"/>
  <c r="G62" i="15" s="1"/>
  <c r="G63" i="15" s="1"/>
  <c r="G64" i="15" s="1"/>
  <c r="G65" i="15" s="1"/>
  <c r="G66" i="15" s="1"/>
  <c r="G67" i="15" s="1"/>
  <c r="G68" i="15" s="1"/>
  <c r="G69" i="15" s="1"/>
  <c r="G70" i="15" s="1"/>
  <c r="G71" i="15" s="1"/>
  <c r="G72" i="15" s="1"/>
  <c r="G73" i="15" s="1"/>
  <c r="G74" i="15" s="1"/>
  <c r="G75" i="15" s="1"/>
  <c r="G76" i="15" s="1"/>
  <c r="G77" i="15" s="1"/>
  <c r="G78" i="15" s="1"/>
  <c r="G79" i="15" s="1"/>
  <c r="G80" i="15" s="1"/>
  <c r="G81" i="15" s="1"/>
  <c r="G82" i="15" s="1"/>
  <c r="G83" i="15" s="1"/>
  <c r="G84" i="15" s="1"/>
  <c r="G85" i="15" s="1"/>
  <c r="G86" i="15" s="1"/>
  <c r="G87" i="15" s="1"/>
  <c r="G88" i="15" s="1"/>
  <c r="G89" i="15" s="1"/>
  <c r="G90" i="15" s="1"/>
  <c r="G91" i="15" s="1"/>
  <c r="G92" i="15" s="1"/>
  <c r="G93" i="15" s="1"/>
  <c r="G94" i="15" s="1"/>
  <c r="G95" i="15" s="1"/>
  <c r="G96" i="15" s="1"/>
  <c r="G97" i="15" s="1"/>
  <c r="G98" i="15" s="1"/>
  <c r="G99" i="15" s="1"/>
  <c r="G100" i="15" s="1"/>
  <c r="G101" i="15" s="1"/>
  <c r="G102" i="15" s="1"/>
  <c r="G103" i="15" s="1"/>
  <c r="G104" i="15" s="1"/>
  <c r="G105" i="15" s="1"/>
  <c r="G106" i="15" s="1"/>
  <c r="G107" i="15" s="1"/>
  <c r="G108" i="15" s="1"/>
  <c r="G109" i="15" s="1"/>
  <c r="G110" i="15" s="1"/>
  <c r="G111" i="15" s="1"/>
  <c r="G112" i="15" s="1"/>
  <c r="G113" i="15" s="1"/>
  <c r="G114" i="15" s="1"/>
  <c r="G115" i="15" s="1"/>
  <c r="G116" i="15" s="1"/>
  <c r="G117" i="15" s="1"/>
  <c r="G118" i="15" s="1"/>
  <c r="G119" i="15" s="1"/>
  <c r="G120" i="15" s="1"/>
  <c r="G121" i="15" s="1"/>
  <c r="G122" i="15" s="1"/>
  <c r="G123" i="15" s="1"/>
  <c r="G124" i="15" s="1"/>
  <c r="G125" i="15" s="1"/>
  <c r="G126" i="15" s="1"/>
  <c r="G127" i="15" s="1"/>
  <c r="G128" i="15" s="1"/>
  <c r="G129" i="15" s="1"/>
  <c r="G130" i="15" s="1"/>
  <c r="G131" i="15" s="1"/>
  <c r="G132" i="15" s="1"/>
  <c r="G133" i="15" s="1"/>
  <c r="G134" i="15" s="1"/>
  <c r="G135" i="15" s="1"/>
  <c r="G136" i="15" s="1"/>
  <c r="G137" i="15" s="1"/>
  <c r="G138" i="15" s="1"/>
  <c r="G139" i="15" s="1"/>
  <c r="G140" i="15" s="1"/>
  <c r="G141" i="15" s="1"/>
  <c r="G142" i="15" s="1"/>
  <c r="G143" i="15" s="1"/>
  <c r="G144" i="15" s="1"/>
  <c r="G145" i="15" s="1"/>
  <c r="G146" i="15" s="1"/>
  <c r="G147" i="15" s="1"/>
  <c r="G148" i="15" s="1"/>
  <c r="G149" i="15" s="1"/>
  <c r="G150" i="15" s="1"/>
  <c r="G151" i="15" s="1"/>
  <c r="G152" i="15" s="1"/>
  <c r="G153" i="15" s="1"/>
  <c r="G154" i="15" s="1"/>
  <c r="G155" i="15" s="1"/>
  <c r="G156" i="15" s="1"/>
  <c r="G157" i="15" s="1"/>
  <c r="G158" i="15" s="1"/>
  <c r="G159" i="15" s="1"/>
  <c r="G160" i="15" s="1"/>
  <c r="G161" i="15" s="1"/>
  <c r="G162" i="15" s="1"/>
  <c r="G163" i="15" s="1"/>
  <c r="G164" i="15" s="1"/>
  <c r="G165" i="15" s="1"/>
  <c r="G166" i="15" s="1"/>
  <c r="G167" i="15" s="1"/>
  <c r="G168" i="15" s="1"/>
  <c r="G169" i="15" s="1"/>
  <c r="G170" i="15" s="1"/>
  <c r="G171" i="15" s="1"/>
  <c r="G172" i="15" s="1"/>
  <c r="G173" i="15" s="1"/>
  <c r="G174" i="15" s="1"/>
  <c r="G175" i="15" s="1"/>
  <c r="G176" i="15" s="1"/>
  <c r="G177" i="15" s="1"/>
  <c r="G178" i="15" s="1"/>
  <c r="G179" i="15" s="1"/>
  <c r="G180" i="15" s="1"/>
  <c r="G181" i="15" s="1"/>
  <c r="G182" i="15" s="1"/>
  <c r="G183" i="15" s="1"/>
  <c r="G184" i="15" s="1"/>
  <c r="G185" i="15" s="1"/>
  <c r="G186" i="15" s="1"/>
  <c r="G187" i="15" s="1"/>
  <c r="G188" i="15" s="1"/>
  <c r="G189" i="15" s="1"/>
  <c r="G190" i="15" s="1"/>
  <c r="G191" i="15" s="1"/>
  <c r="G192" i="15" s="1"/>
  <c r="G193" i="15" s="1"/>
  <c r="G194" i="15" s="1"/>
  <c r="G195" i="15" s="1"/>
  <c r="G196" i="15" s="1"/>
  <c r="G197" i="15" s="1"/>
  <c r="G198" i="15" s="1"/>
  <c r="G199" i="15" s="1"/>
  <c r="G200" i="15" s="1"/>
  <c r="G201" i="15" s="1"/>
  <c r="G202" i="15" s="1"/>
  <c r="G203" i="15" s="1"/>
  <c r="G204" i="15" s="1"/>
  <c r="G205" i="15" s="1"/>
  <c r="G206" i="15" s="1"/>
  <c r="G207" i="15" s="1"/>
  <c r="G208" i="15" s="1"/>
  <c r="G209" i="15" s="1"/>
  <c r="G210" i="15" s="1"/>
  <c r="G211" i="15" s="1"/>
  <c r="G212" i="15" s="1"/>
  <c r="G213" i="15" s="1"/>
  <c r="G214" i="15" s="1"/>
  <c r="G215" i="15" s="1"/>
  <c r="G216" i="15" s="1"/>
  <c r="G217" i="15" s="1"/>
  <c r="G218" i="15" s="1"/>
  <c r="G219" i="15" s="1"/>
  <c r="G220" i="15" s="1"/>
  <c r="G221" i="15" s="1"/>
  <c r="G222" i="15" s="1"/>
  <c r="G223" i="15" s="1"/>
  <c r="G224" i="15" s="1"/>
  <c r="G225" i="15" s="1"/>
  <c r="G226" i="15" s="1"/>
  <c r="G227" i="15" s="1"/>
  <c r="G228" i="15" s="1"/>
  <c r="G229" i="15" s="1"/>
  <c r="G230" i="15" s="1"/>
  <c r="G231" i="15" s="1"/>
  <c r="G232" i="15" s="1"/>
  <c r="G233" i="15" s="1"/>
  <c r="G234" i="15" s="1"/>
  <c r="G235" i="15" s="1"/>
  <c r="G236" i="15" s="1"/>
  <c r="G237" i="15" s="1"/>
  <c r="G238" i="15" s="1"/>
  <c r="G239" i="15" s="1"/>
  <c r="G240" i="15" s="1"/>
  <c r="G241" i="15" s="1"/>
  <c r="G242" i="15" s="1"/>
  <c r="G243" i="15" s="1"/>
  <c r="G244" i="15" s="1"/>
  <c r="G245" i="15" s="1"/>
  <c r="G246" i="15" s="1"/>
  <c r="G247" i="15" s="1"/>
  <c r="G248" i="15" s="1"/>
  <c r="G249" i="15" s="1"/>
  <c r="G250" i="15" s="1"/>
  <c r="G251" i="15" s="1"/>
  <c r="G252" i="15" s="1"/>
  <c r="G253" i="15" s="1"/>
  <c r="G254" i="15" s="1"/>
  <c r="G255" i="15" s="1"/>
  <c r="G256" i="15" s="1"/>
  <c r="G257" i="15" s="1"/>
  <c r="G258" i="15" s="1"/>
  <c r="G259" i="15" s="1"/>
  <c r="G260" i="15" s="1"/>
  <c r="G261" i="15" s="1"/>
  <c r="G262" i="15" s="1"/>
  <c r="G263" i="15" s="1"/>
  <c r="G264" i="15" s="1"/>
  <c r="G265" i="15" s="1"/>
  <c r="G266" i="15" s="1"/>
  <c r="G267" i="15" s="1"/>
  <c r="G268" i="15" s="1"/>
  <c r="G269" i="15" s="1"/>
  <c r="G270" i="15" s="1"/>
  <c r="G271" i="15" s="1"/>
  <c r="G272" i="15" s="1"/>
  <c r="G273" i="15" s="1"/>
  <c r="G274" i="15" s="1"/>
  <c r="G275" i="15" s="1"/>
  <c r="G276" i="15" s="1"/>
  <c r="G277" i="15" s="1"/>
  <c r="G278" i="15" s="1"/>
  <c r="G279" i="15" s="1"/>
  <c r="G280" i="15" s="1"/>
  <c r="G281" i="15" s="1"/>
  <c r="G282" i="15" s="1"/>
  <c r="G283" i="15" s="1"/>
  <c r="G284" i="15" s="1"/>
  <c r="G285" i="15" s="1"/>
  <c r="G286" i="15" s="1"/>
  <c r="G287" i="15" s="1"/>
  <c r="G288" i="15" s="1"/>
  <c r="G289" i="15" s="1"/>
  <c r="G290" i="15" s="1"/>
  <c r="G291" i="15" s="1"/>
  <c r="G292" i="15" s="1"/>
  <c r="G293" i="15" s="1"/>
  <c r="G294" i="15" s="1"/>
  <c r="G295" i="15" s="1"/>
  <c r="G296" i="15" s="1"/>
  <c r="G297" i="15" s="1"/>
  <c r="G298" i="15" s="1"/>
  <c r="G299" i="15" s="1"/>
  <c r="G300" i="15" s="1"/>
  <c r="G301" i="15" s="1"/>
  <c r="G302" i="15" s="1"/>
  <c r="G303" i="15" s="1"/>
  <c r="G304" i="15" s="1"/>
  <c r="G305" i="15" s="1"/>
  <c r="G306" i="15" s="1"/>
  <c r="G307" i="15" s="1"/>
  <c r="G308" i="15" s="1"/>
  <c r="G309" i="15" s="1"/>
  <c r="G310" i="15" s="1"/>
  <c r="G311" i="15" s="1"/>
  <c r="G312" i="15" s="1"/>
  <c r="G313" i="15" s="1"/>
  <c r="G314" i="15" s="1"/>
  <c r="G315" i="15" s="1"/>
  <c r="G316" i="15" s="1"/>
  <c r="G317" i="15" s="1"/>
  <c r="G318" i="15" s="1"/>
  <c r="G319" i="15" s="1"/>
  <c r="G320" i="15" s="1"/>
  <c r="G321" i="15" s="1"/>
  <c r="G322" i="15" s="1"/>
  <c r="G323" i="15" s="1"/>
  <c r="G324" i="15" s="1"/>
  <c r="G325" i="15" s="1"/>
  <c r="G326" i="15" s="1"/>
  <c r="G327" i="15" s="1"/>
  <c r="G328" i="15" s="1"/>
  <c r="G329" i="15" s="1"/>
  <c r="G330" i="15" s="1"/>
  <c r="G331" i="15" s="1"/>
  <c r="G332" i="15" s="1"/>
  <c r="G333" i="15" s="1"/>
  <c r="G334" i="15" s="1"/>
  <c r="G335" i="15" s="1"/>
  <c r="G336" i="15" s="1"/>
  <c r="G337" i="15" s="1"/>
  <c r="G338" i="15" s="1"/>
  <c r="G339" i="15" s="1"/>
  <c r="G340" i="15" s="1"/>
  <c r="G341" i="15" s="1"/>
  <c r="G342" i="15" s="1"/>
  <c r="G343" i="15" s="1"/>
  <c r="G344" i="15" s="1"/>
  <c r="G345" i="15" s="1"/>
  <c r="G346" i="15" s="1"/>
  <c r="G347" i="15" s="1"/>
  <c r="G348" i="15" s="1"/>
  <c r="G349" i="15" s="1"/>
  <c r="G350" i="15" s="1"/>
  <c r="G351" i="15" s="1"/>
  <c r="G352" i="15" s="1"/>
  <c r="G353" i="15" s="1"/>
  <c r="G354" i="15" s="1"/>
  <c r="G355" i="15" s="1"/>
  <c r="G356" i="15" s="1"/>
  <c r="G357" i="15" s="1"/>
  <c r="G358" i="15" s="1"/>
  <c r="G359" i="15" s="1"/>
  <c r="G360" i="15" s="1"/>
  <c r="G361" i="15" s="1"/>
  <c r="G362" i="15" s="1"/>
  <c r="G363" i="15" s="1"/>
  <c r="G364" i="15" s="1"/>
  <c r="G365" i="15" s="1"/>
  <c r="G366" i="15" s="1"/>
  <c r="G367" i="15" s="1"/>
  <c r="G368" i="15" s="1"/>
  <c r="G369" i="15" s="1"/>
  <c r="G370" i="15" s="1"/>
  <c r="G371" i="15" s="1"/>
  <c r="G372" i="15" s="1"/>
  <c r="G373" i="15" s="1"/>
  <c r="G374" i="15" s="1"/>
  <c r="G375" i="15" s="1"/>
  <c r="G376" i="15" s="1"/>
  <c r="G377" i="15" s="1"/>
  <c r="G378" i="15" s="1"/>
  <c r="G379" i="15" s="1"/>
  <c r="G380" i="15" s="1"/>
  <c r="G381" i="15" s="1"/>
  <c r="G382" i="15" s="1"/>
  <c r="G383" i="15" s="1"/>
  <c r="G384" i="15" s="1"/>
  <c r="G385" i="15" s="1"/>
  <c r="G386" i="15" s="1"/>
  <c r="G387" i="15" s="1"/>
  <c r="G388" i="15" s="1"/>
  <c r="G389" i="15" s="1"/>
  <c r="G390" i="15" s="1"/>
  <c r="G391" i="15" s="1"/>
  <c r="G392" i="15" s="1"/>
  <c r="G393" i="15" s="1"/>
  <c r="G394" i="15" s="1"/>
  <c r="G395" i="15" s="1"/>
  <c r="G396" i="15" s="1"/>
  <c r="G397" i="15" s="1"/>
  <c r="G398" i="15" s="1"/>
  <c r="G399" i="15" s="1"/>
  <c r="G400" i="15" s="1"/>
  <c r="G401" i="15" s="1"/>
  <c r="G402" i="15" s="1"/>
  <c r="G403" i="15" s="1"/>
  <c r="G404" i="15" s="1"/>
  <c r="G405" i="15" s="1"/>
  <c r="G406" i="15" s="1"/>
  <c r="G407" i="15" s="1"/>
  <c r="G408" i="15" s="1"/>
  <c r="G409" i="15" s="1"/>
  <c r="G410" i="15" s="1"/>
  <c r="G411" i="15" s="1"/>
  <c r="G412" i="15" s="1"/>
  <c r="G413" i="15" s="1"/>
  <c r="G414" i="15" s="1"/>
  <c r="G415" i="15" s="1"/>
  <c r="G416" i="15" s="1"/>
  <c r="G417" i="15" s="1"/>
  <c r="G418" i="15" s="1"/>
  <c r="G419" i="15" s="1"/>
  <c r="G420" i="15" s="1"/>
  <c r="G421" i="15" s="1"/>
  <c r="G422" i="15" s="1"/>
  <c r="G423" i="15" s="1"/>
  <c r="G424" i="15" s="1"/>
  <c r="G425" i="15" s="1"/>
  <c r="G426" i="15" s="1"/>
  <c r="G427" i="15" s="1"/>
  <c r="G428" i="15" s="1"/>
  <c r="G429" i="15" s="1"/>
  <c r="G430" i="15" s="1"/>
  <c r="G431" i="15" s="1"/>
  <c r="G432" i="15" s="1"/>
  <c r="G433" i="15" s="1"/>
  <c r="G434" i="15" s="1"/>
  <c r="G435" i="15" s="1"/>
  <c r="G436" i="15" s="1"/>
  <c r="G437" i="15" s="1"/>
  <c r="G438" i="15" s="1"/>
  <c r="G439" i="15" s="1"/>
  <c r="G440" i="15" s="1"/>
  <c r="G441" i="15" s="1"/>
  <c r="G442" i="15" s="1"/>
  <c r="G443" i="15" s="1"/>
  <c r="G444" i="15" s="1"/>
  <c r="G445" i="15" s="1"/>
  <c r="G446" i="15" s="1"/>
  <c r="G447" i="15" s="1"/>
  <c r="G448" i="15" s="1"/>
  <c r="G449" i="15" s="1"/>
  <c r="G450" i="15" s="1"/>
  <c r="G451" i="15" s="1"/>
  <c r="G452" i="15" s="1"/>
  <c r="G453" i="15" s="1"/>
  <c r="G454" i="15" s="1"/>
  <c r="G455" i="15" s="1"/>
  <c r="G456" i="15" s="1"/>
  <c r="G457" i="15" s="1"/>
  <c r="G458" i="15" s="1"/>
  <c r="G459" i="15" s="1"/>
  <c r="G460" i="15" s="1"/>
  <c r="G461" i="15" s="1"/>
  <c r="G462" i="15" s="1"/>
  <c r="G463" i="15" s="1"/>
  <c r="G464" i="15" s="1"/>
  <c r="G465" i="15" s="1"/>
  <c r="G466" i="15" s="1"/>
  <c r="G467" i="15" s="1"/>
  <c r="G468" i="15" s="1"/>
  <c r="G469" i="15" s="1"/>
  <c r="G470" i="15" s="1"/>
  <c r="G471" i="15" s="1"/>
  <c r="G472" i="15" s="1"/>
  <c r="G473" i="15" s="1"/>
  <c r="G474" i="15" s="1"/>
  <c r="G475" i="15" s="1"/>
  <c r="G476" i="15" s="1"/>
  <c r="G477" i="15" s="1"/>
  <c r="G478" i="15" s="1"/>
  <c r="G479" i="15" s="1"/>
  <c r="G480" i="15" s="1"/>
  <c r="G481" i="15" s="1"/>
  <c r="G482" i="15" s="1"/>
  <c r="G483" i="15" s="1"/>
  <c r="G484" i="15" s="1"/>
  <c r="G485" i="15" s="1"/>
  <c r="G486" i="15" s="1"/>
  <c r="G487" i="15" s="1"/>
  <c r="G488" i="15" s="1"/>
  <c r="G489" i="15" s="1"/>
  <c r="G490" i="15" s="1"/>
  <c r="G491" i="15" s="1"/>
  <c r="G492" i="15" s="1"/>
  <c r="G493" i="15" s="1"/>
  <c r="G494" i="15" s="1"/>
  <c r="G495" i="15" s="1"/>
  <c r="G496" i="15" s="1"/>
  <c r="G497" i="15" s="1"/>
  <c r="G498" i="15" s="1"/>
  <c r="G499" i="15" s="1"/>
  <c r="G500" i="15" s="1"/>
  <c r="G501" i="15" s="1"/>
  <c r="G502" i="15" s="1"/>
  <c r="G503" i="15" s="1"/>
  <c r="G504" i="15" s="1"/>
  <c r="G505" i="15" s="1"/>
  <c r="G506" i="15" s="1"/>
  <c r="G507" i="15" s="1"/>
  <c r="G508" i="15" s="1"/>
  <c r="G509" i="15" s="1"/>
  <c r="G510" i="15" s="1"/>
  <c r="G511" i="15" s="1"/>
  <c r="G512" i="15" s="1"/>
  <c r="G513" i="15" s="1"/>
  <c r="G514" i="15" s="1"/>
  <c r="G515" i="15" s="1"/>
  <c r="G516" i="15" s="1"/>
  <c r="G517" i="15" s="1"/>
  <c r="G518" i="15" s="1"/>
  <c r="G519" i="15" s="1"/>
  <c r="G520" i="15" s="1"/>
  <c r="G521" i="15" s="1"/>
  <c r="G522" i="15" s="1"/>
  <c r="G523" i="15" s="1"/>
  <c r="G524" i="15" s="1"/>
  <c r="G525" i="15" s="1"/>
  <c r="G526" i="15" s="1"/>
  <c r="G527" i="15" s="1"/>
  <c r="G528" i="15" s="1"/>
  <c r="G529" i="15" s="1"/>
  <c r="G530" i="15" s="1"/>
  <c r="G531" i="15" s="1"/>
  <c r="G532" i="15" s="1"/>
  <c r="G533" i="15" s="1"/>
  <c r="G534" i="15" s="1"/>
  <c r="G535" i="15" s="1"/>
  <c r="G536" i="15" s="1"/>
  <c r="G537" i="15" s="1"/>
  <c r="G538" i="15" s="1"/>
  <c r="G539" i="15" s="1"/>
  <c r="G540" i="15" s="1"/>
  <c r="G541" i="15" s="1"/>
  <c r="G542" i="15" s="1"/>
  <c r="G543" i="15" s="1"/>
  <c r="G544" i="15" s="1"/>
  <c r="G545" i="15" s="1"/>
  <c r="G546" i="15" s="1"/>
  <c r="G547" i="15" s="1"/>
  <c r="G548" i="15" s="1"/>
  <c r="G549" i="15" s="1"/>
  <c r="G550" i="15" s="1"/>
  <c r="G551" i="15" s="1"/>
  <c r="G552" i="15" s="1"/>
  <c r="G553" i="15" s="1"/>
  <c r="G554" i="15" s="1"/>
  <c r="G555" i="15" s="1"/>
  <c r="G556" i="15" s="1"/>
  <c r="G557" i="15" s="1"/>
  <c r="G558" i="15" s="1"/>
  <c r="G559" i="15" s="1"/>
  <c r="G560" i="15" s="1"/>
  <c r="G561" i="15" s="1"/>
  <c r="G562" i="15" s="1"/>
  <c r="G563" i="15" s="1"/>
  <c r="G564" i="15" s="1"/>
  <c r="G565" i="15" s="1"/>
  <c r="G566" i="15" s="1"/>
  <c r="G567" i="15" s="1"/>
  <c r="G568" i="15" s="1"/>
  <c r="G569" i="15" s="1"/>
  <c r="G570" i="15" s="1"/>
  <c r="G571" i="15" s="1"/>
  <c r="G572" i="15" s="1"/>
  <c r="G573" i="15" s="1"/>
  <c r="G574" i="15" s="1"/>
  <c r="G575" i="15" s="1"/>
  <c r="G576" i="15" s="1"/>
  <c r="G577" i="15" s="1"/>
  <c r="G578" i="15" s="1"/>
  <c r="G579" i="15" s="1"/>
  <c r="G580" i="15" s="1"/>
  <c r="G581" i="15" s="1"/>
  <c r="G582" i="15" s="1"/>
  <c r="G583" i="15" s="1"/>
  <c r="G584" i="15" s="1"/>
  <c r="G585" i="15" s="1"/>
  <c r="G586" i="15" s="1"/>
  <c r="G587" i="15" s="1"/>
  <c r="G588" i="15" s="1"/>
  <c r="G589" i="15" s="1"/>
  <c r="G590" i="15" s="1"/>
  <c r="G591" i="15" s="1"/>
  <c r="G592" i="15" s="1"/>
  <c r="G593" i="15" s="1"/>
  <c r="G594" i="15" s="1"/>
  <c r="G595" i="15" s="1"/>
  <c r="G596" i="15" s="1"/>
  <c r="G597" i="15" s="1"/>
  <c r="G598" i="15" s="1"/>
  <c r="G599" i="15" s="1"/>
  <c r="G600" i="15" s="1"/>
  <c r="G601" i="15" s="1"/>
  <c r="G602" i="15" s="1"/>
  <c r="G603" i="15" s="1"/>
  <c r="G604" i="15" s="1"/>
  <c r="G605" i="15" s="1"/>
  <c r="G606" i="15" s="1"/>
  <c r="G607" i="15" s="1"/>
  <c r="G608" i="15" s="1"/>
  <c r="G609" i="15" s="1"/>
  <c r="G610" i="15" s="1"/>
  <c r="G611" i="15" s="1"/>
  <c r="G612" i="15" s="1"/>
  <c r="G613" i="15" s="1"/>
  <c r="G614" i="15" s="1"/>
  <c r="G615" i="15" s="1"/>
  <c r="G616" i="15" s="1"/>
  <c r="G617" i="15" s="1"/>
  <c r="G618" i="15" s="1"/>
  <c r="G619" i="15" s="1"/>
  <c r="G620" i="15" s="1"/>
  <c r="G621" i="15" s="1"/>
  <c r="G622" i="15" s="1"/>
  <c r="G623" i="15" s="1"/>
  <c r="G624" i="15" s="1"/>
  <c r="G625" i="15" s="1"/>
  <c r="G626" i="15" s="1"/>
  <c r="G627" i="15" s="1"/>
  <c r="G628" i="15" s="1"/>
  <c r="G629" i="15" s="1"/>
  <c r="G630" i="15" s="1"/>
  <c r="G631" i="15" s="1"/>
  <c r="G632" i="15" s="1"/>
  <c r="G633" i="15" s="1"/>
  <c r="G634" i="15" s="1"/>
  <c r="G635" i="15" s="1"/>
  <c r="G636" i="15" s="1"/>
  <c r="G637" i="15" s="1"/>
  <c r="G638" i="15" s="1"/>
  <c r="G639" i="15" s="1"/>
  <c r="G640" i="15" s="1"/>
  <c r="G641" i="15" s="1"/>
  <c r="G642" i="15" s="1"/>
  <c r="G643" i="15" s="1"/>
  <c r="G644" i="15" s="1"/>
  <c r="G645" i="15" s="1"/>
  <c r="G646" i="15" s="1"/>
  <c r="G647" i="15" s="1"/>
  <c r="G648" i="15" s="1"/>
  <c r="G649" i="15" s="1"/>
  <c r="G650" i="15" s="1"/>
  <c r="G651" i="15" s="1"/>
  <c r="G652" i="15" s="1"/>
  <c r="G653" i="15" s="1"/>
  <c r="G654" i="15" s="1"/>
  <c r="G655" i="15" s="1"/>
  <c r="G656" i="15" s="1"/>
  <c r="G657" i="15" s="1"/>
  <c r="G658" i="15" s="1"/>
  <c r="G659" i="15" s="1"/>
  <c r="G660" i="15" s="1"/>
  <c r="G661" i="15" s="1"/>
  <c r="G662" i="15" s="1"/>
  <c r="G663" i="15" s="1"/>
  <c r="G664" i="15" s="1"/>
  <c r="G665" i="15" s="1"/>
  <c r="G666" i="15" s="1"/>
  <c r="G667" i="15" s="1"/>
  <c r="G668" i="15" s="1"/>
  <c r="G669" i="15" s="1"/>
  <c r="G670" i="15" s="1"/>
  <c r="G671" i="15" s="1"/>
  <c r="G672" i="15" s="1"/>
  <c r="G673" i="15" s="1"/>
  <c r="G674" i="15" s="1"/>
  <c r="G675" i="15" s="1"/>
  <c r="G676" i="15" s="1"/>
  <c r="G677" i="15" s="1"/>
  <c r="G678" i="15" s="1"/>
  <c r="G679" i="15" s="1"/>
  <c r="G680" i="15" s="1"/>
  <c r="G681" i="15" s="1"/>
  <c r="G682" i="15" s="1"/>
  <c r="G683" i="15" s="1"/>
  <c r="G684" i="15" s="1"/>
  <c r="G685" i="15" s="1"/>
  <c r="G686" i="15" s="1"/>
  <c r="G687" i="15" s="1"/>
  <c r="G688" i="15" s="1"/>
  <c r="G689" i="15" s="1"/>
  <c r="G690" i="15" s="1"/>
  <c r="G691" i="15" s="1"/>
  <c r="G692" i="15" s="1"/>
  <c r="G693" i="15" s="1"/>
  <c r="G694" i="15" s="1"/>
  <c r="G695" i="15" s="1"/>
  <c r="G696" i="15" s="1"/>
  <c r="G697" i="15" s="1"/>
  <c r="G698" i="15" s="1"/>
  <c r="G699" i="15" s="1"/>
  <c r="G700" i="15" s="1"/>
  <c r="G701" i="15" s="1"/>
  <c r="G702" i="15" s="1"/>
  <c r="G703" i="15" s="1"/>
  <c r="G704" i="15" s="1"/>
  <c r="G705" i="15" s="1"/>
  <c r="G706" i="15" s="1"/>
  <c r="G707" i="15" s="1"/>
  <c r="G708" i="15" s="1"/>
  <c r="G709" i="15" s="1"/>
  <c r="G710" i="15" s="1"/>
  <c r="G711" i="15" s="1"/>
  <c r="G712" i="15" s="1"/>
  <c r="G713" i="15" s="1"/>
  <c r="G714" i="15" s="1"/>
  <c r="G715" i="15" s="1"/>
  <c r="G716" i="15" s="1"/>
  <c r="G717" i="15" s="1"/>
  <c r="G718" i="15" s="1"/>
  <c r="G719" i="15" s="1"/>
  <c r="G720" i="15" s="1"/>
  <c r="G721" i="15" s="1"/>
  <c r="G722" i="15" s="1"/>
  <c r="G723" i="15" s="1"/>
  <c r="G724" i="15" s="1"/>
  <c r="G725" i="15" s="1"/>
  <c r="G726" i="15" s="1"/>
  <c r="G727" i="15" s="1"/>
  <c r="G728" i="15" s="1"/>
  <c r="G729" i="15" s="1"/>
  <c r="G730" i="15" s="1"/>
  <c r="G731" i="15" s="1"/>
  <c r="G732" i="15" s="1"/>
  <c r="G733" i="15" s="1"/>
  <c r="G734" i="15" s="1"/>
  <c r="G735" i="15" s="1"/>
  <c r="G736" i="15" s="1"/>
  <c r="G737" i="15" s="1"/>
  <c r="G738" i="15" s="1"/>
  <c r="G739" i="15" s="1"/>
  <c r="G740" i="15" s="1"/>
  <c r="G741" i="15" s="1"/>
  <c r="G742" i="15" s="1"/>
  <c r="G743" i="15" s="1"/>
  <c r="G744" i="15" s="1"/>
  <c r="G745" i="15" s="1"/>
  <c r="G746" i="15" s="1"/>
  <c r="G747" i="15" s="1"/>
  <c r="G748" i="15" s="1"/>
  <c r="G749" i="15" s="1"/>
  <c r="G750" i="15" s="1"/>
  <c r="G751" i="15" s="1"/>
  <c r="G752" i="15" s="1"/>
  <c r="G753" i="15" s="1"/>
  <c r="G754" i="15" s="1"/>
  <c r="G755" i="15" s="1"/>
  <c r="L12" i="20"/>
  <c r="K4" i="20"/>
  <c r="L4" i="20" s="1"/>
  <c r="M4" i="20"/>
  <c r="K5" i="20"/>
  <c r="L5" i="20" s="1"/>
  <c r="M5" i="20"/>
  <c r="K6" i="20"/>
  <c r="L6" i="20" s="1"/>
  <c r="M6" i="20"/>
  <c r="K7" i="20"/>
  <c r="P7" i="20" s="1"/>
  <c r="N7" i="20" s="1"/>
  <c r="M7" i="20"/>
  <c r="K8" i="20"/>
  <c r="L8" i="20" s="1"/>
  <c r="M8" i="20"/>
  <c r="K9" i="20"/>
  <c r="L9" i="20" s="1"/>
  <c r="M9" i="20"/>
  <c r="K10" i="20"/>
  <c r="L10" i="20" s="1"/>
  <c r="M10" i="20"/>
  <c r="K11" i="20"/>
  <c r="P11" i="20" s="1"/>
  <c r="M11" i="20"/>
  <c r="K12" i="20"/>
  <c r="M12" i="20"/>
  <c r="K13" i="20"/>
  <c r="L13" i="20" s="1"/>
  <c r="M13" i="20"/>
  <c r="K14" i="20"/>
  <c r="L14" i="20" s="1"/>
  <c r="M14" i="20"/>
  <c r="M76" i="20"/>
  <c r="K76" i="20"/>
  <c r="P76" i="20" s="1"/>
  <c r="I76" i="20" s="1"/>
  <c r="G76" i="20"/>
  <c r="M75" i="20"/>
  <c r="K75" i="20"/>
  <c r="G75" i="20"/>
  <c r="M74" i="20"/>
  <c r="K74" i="20"/>
  <c r="G74" i="20"/>
  <c r="M73" i="20"/>
  <c r="K73" i="20"/>
  <c r="G73" i="20"/>
  <c r="M72" i="20"/>
  <c r="K72" i="20"/>
  <c r="G72" i="20"/>
  <c r="M71" i="20"/>
  <c r="K71" i="20"/>
  <c r="P71" i="20" s="1"/>
  <c r="N71" i="20" s="1"/>
  <c r="G71" i="20"/>
  <c r="M70" i="20"/>
  <c r="K70" i="20"/>
  <c r="G70" i="20"/>
  <c r="M69" i="20"/>
  <c r="K69" i="20"/>
  <c r="G69" i="20"/>
  <c r="M68" i="20"/>
  <c r="K68" i="20"/>
  <c r="P68" i="20" s="1"/>
  <c r="I68" i="20" s="1"/>
  <c r="G68" i="20"/>
  <c r="M67" i="20"/>
  <c r="K67" i="20"/>
  <c r="P67" i="20" s="1"/>
  <c r="I67" i="20" s="1"/>
  <c r="G67" i="20"/>
  <c r="M66" i="20"/>
  <c r="K66" i="20"/>
  <c r="P66" i="20" s="1"/>
  <c r="I66" i="20" s="1"/>
  <c r="G66" i="20"/>
  <c r="M65" i="20"/>
  <c r="K65" i="20"/>
  <c r="G65" i="20"/>
  <c r="M64" i="20"/>
  <c r="K64" i="20"/>
  <c r="G64" i="20"/>
  <c r="M63" i="20"/>
  <c r="K63" i="20"/>
  <c r="P63" i="20" s="1"/>
  <c r="N63" i="20" s="1"/>
  <c r="G63" i="20"/>
  <c r="M62" i="20"/>
  <c r="K62" i="20"/>
  <c r="G62" i="20"/>
  <c r="M61" i="20"/>
  <c r="K61" i="20"/>
  <c r="G61" i="20"/>
  <c r="M60" i="20"/>
  <c r="K60" i="20"/>
  <c r="P60" i="20" s="1"/>
  <c r="G60" i="20"/>
  <c r="M59" i="20"/>
  <c r="K59" i="20"/>
  <c r="P59" i="20" s="1"/>
  <c r="G59" i="20"/>
  <c r="M58" i="20"/>
  <c r="K58" i="20"/>
  <c r="P58" i="20" s="1"/>
  <c r="G58" i="20"/>
  <c r="M57" i="20"/>
  <c r="K57" i="20"/>
  <c r="G57" i="20"/>
  <c r="M56" i="20"/>
  <c r="K56" i="20"/>
  <c r="G56" i="20"/>
  <c r="M55" i="20"/>
  <c r="K55" i="20"/>
  <c r="P55" i="20" s="1"/>
  <c r="N55" i="20" s="1"/>
  <c r="G55" i="20"/>
  <c r="M54" i="20"/>
  <c r="K54" i="20"/>
  <c r="G54" i="20"/>
  <c r="M53" i="20"/>
  <c r="K53" i="20"/>
  <c r="G53" i="20"/>
  <c r="M52" i="20"/>
  <c r="K52" i="20"/>
  <c r="P52" i="20" s="1"/>
  <c r="I52" i="20" s="1"/>
  <c r="G52" i="20"/>
  <c r="M51" i="20"/>
  <c r="K51" i="20"/>
  <c r="P51" i="20" s="1"/>
  <c r="J51" i="20" s="1"/>
  <c r="G51" i="20"/>
  <c r="M50" i="20"/>
  <c r="K50" i="20"/>
  <c r="P50" i="20" s="1"/>
  <c r="I50" i="20" s="1"/>
  <c r="G50" i="20"/>
  <c r="M49" i="20"/>
  <c r="K49" i="20"/>
  <c r="G49" i="20"/>
  <c r="M48" i="20"/>
  <c r="K48" i="20"/>
  <c r="G48" i="20"/>
  <c r="M47" i="20"/>
  <c r="K47" i="20"/>
  <c r="P47" i="20" s="1"/>
  <c r="N47" i="20" s="1"/>
  <c r="G47" i="20"/>
  <c r="M46" i="20"/>
  <c r="K46" i="20"/>
  <c r="G46" i="20"/>
  <c r="M45" i="20"/>
  <c r="K45" i="20"/>
  <c r="G45" i="20"/>
  <c r="M44" i="20"/>
  <c r="K44" i="20"/>
  <c r="P44" i="20" s="1"/>
  <c r="G44" i="20"/>
  <c r="M43" i="20"/>
  <c r="K43" i="20"/>
  <c r="G43" i="20"/>
  <c r="M42" i="20"/>
  <c r="K42" i="20"/>
  <c r="P42" i="20" s="1"/>
  <c r="G42" i="20"/>
  <c r="M41" i="20"/>
  <c r="K41" i="20"/>
  <c r="G41" i="20"/>
  <c r="M40" i="20"/>
  <c r="K40" i="20"/>
  <c r="G40" i="20"/>
  <c r="M39" i="20"/>
  <c r="K39" i="20"/>
  <c r="P39" i="20" s="1"/>
  <c r="N39" i="20" s="1"/>
  <c r="G39" i="20"/>
  <c r="M38" i="20"/>
  <c r="K38" i="20"/>
  <c r="G38" i="20"/>
  <c r="M37" i="20"/>
  <c r="K37" i="20"/>
  <c r="G37" i="20"/>
  <c r="M36" i="20"/>
  <c r="K36" i="20"/>
  <c r="G36" i="20"/>
  <c r="M35" i="20"/>
  <c r="K35" i="20"/>
  <c r="P35" i="20" s="1"/>
  <c r="G35" i="20"/>
  <c r="M34" i="20"/>
  <c r="K34" i="20"/>
  <c r="G34" i="20"/>
  <c r="H34" i="20" s="1"/>
  <c r="M33" i="20"/>
  <c r="K33" i="20"/>
  <c r="G33" i="20"/>
  <c r="H33" i="20" s="1"/>
  <c r="M32" i="20"/>
  <c r="K32" i="20"/>
  <c r="G32" i="20"/>
  <c r="H32" i="20" s="1"/>
  <c r="M31" i="20"/>
  <c r="K31" i="20"/>
  <c r="P31" i="20" s="1"/>
  <c r="N31" i="20" s="1"/>
  <c r="G31" i="20"/>
  <c r="H31" i="20" s="1"/>
  <c r="M30" i="20"/>
  <c r="K30" i="20"/>
  <c r="G30" i="20"/>
  <c r="H30" i="20" s="1"/>
  <c r="M29" i="20"/>
  <c r="K29" i="20"/>
  <c r="G29" i="20"/>
  <c r="H29" i="20" s="1"/>
  <c r="M28" i="20"/>
  <c r="K28" i="20"/>
  <c r="G28" i="20"/>
  <c r="H28" i="20" s="1"/>
  <c r="M27" i="20"/>
  <c r="K27" i="20"/>
  <c r="P27" i="20" s="1"/>
  <c r="J27" i="20" s="1"/>
  <c r="G27" i="20"/>
  <c r="H27" i="20" s="1"/>
  <c r="M26" i="20"/>
  <c r="K26" i="20"/>
  <c r="P26" i="20" s="1"/>
  <c r="I26" i="20" s="1"/>
  <c r="G26" i="20"/>
  <c r="H26" i="20" s="1"/>
  <c r="M25" i="20"/>
  <c r="K25" i="20"/>
  <c r="G25" i="20"/>
  <c r="H25" i="20" s="1"/>
  <c r="M24" i="20"/>
  <c r="K24" i="20"/>
  <c r="G24" i="20"/>
  <c r="H24" i="20" s="1"/>
  <c r="M23" i="20"/>
  <c r="K23" i="20"/>
  <c r="P23" i="20" s="1"/>
  <c r="N23" i="20" s="1"/>
  <c r="G23" i="20"/>
  <c r="H23" i="20" s="1"/>
  <c r="M22" i="20"/>
  <c r="K22" i="20"/>
  <c r="G22" i="20"/>
  <c r="H22" i="20" s="1"/>
  <c r="M21" i="20"/>
  <c r="K21" i="20"/>
  <c r="G21" i="20"/>
  <c r="H21" i="20" s="1"/>
  <c r="M20" i="20"/>
  <c r="K20" i="20"/>
  <c r="G20" i="20"/>
  <c r="H20" i="20" s="1"/>
  <c r="M19" i="20"/>
  <c r="K19" i="20"/>
  <c r="P19" i="20" s="1"/>
  <c r="G19" i="20"/>
  <c r="H19" i="20" s="1"/>
  <c r="M18" i="20"/>
  <c r="K18" i="20"/>
  <c r="P18" i="20" s="1"/>
  <c r="G18" i="20"/>
  <c r="H18" i="20" s="1"/>
  <c r="M17" i="20"/>
  <c r="K17" i="20"/>
  <c r="G17" i="20"/>
  <c r="H17" i="20" s="1"/>
  <c r="M16" i="20"/>
  <c r="K16" i="20"/>
  <c r="G16" i="20"/>
  <c r="H16" i="20" s="1"/>
  <c r="M15" i="20"/>
  <c r="K15" i="20"/>
  <c r="G15" i="20"/>
  <c r="H15" i="20" s="1"/>
  <c r="K26" i="6"/>
  <c r="K28" i="6"/>
  <c r="L7" i="20" l="1"/>
  <c r="K93" i="14"/>
  <c r="L11" i="20"/>
  <c r="K98" i="14"/>
  <c r="C98" i="14"/>
  <c r="K261" i="14"/>
  <c r="H23" i="17"/>
  <c r="C35" i="20"/>
  <c r="C36" i="20" s="1"/>
  <c r="C37" i="20" s="1"/>
  <c r="C38" i="20" s="1"/>
  <c r="C39" i="20" s="1"/>
  <c r="C40" i="20" s="1"/>
  <c r="C41" i="20" s="1"/>
  <c r="C42" i="20" s="1"/>
  <c r="C43" i="20" s="1"/>
  <c r="C44" i="20" s="1"/>
  <c r="C45" i="20" s="1"/>
  <c r="C46" i="20" s="1"/>
  <c r="C47" i="20" s="1"/>
  <c r="C48" i="20" s="1"/>
  <c r="C49" i="20" s="1"/>
  <c r="C50" i="20" s="1"/>
  <c r="C51" i="20" s="1"/>
  <c r="C52" i="20" s="1"/>
  <c r="C53" i="20" s="1"/>
  <c r="C54" i="20" s="1"/>
  <c r="C55" i="20" s="1"/>
  <c r="C56" i="20" s="1"/>
  <c r="C57" i="20" s="1"/>
  <c r="C58" i="20" s="1"/>
  <c r="C59" i="20" s="1"/>
  <c r="C60" i="20" s="1"/>
  <c r="C61" i="20" s="1"/>
  <c r="C62" i="20" s="1"/>
  <c r="C63" i="20" s="1"/>
  <c r="C64" i="20" s="1"/>
  <c r="C65" i="20" s="1"/>
  <c r="C66" i="20" s="1"/>
  <c r="C67" i="20" s="1"/>
  <c r="C68" i="20" s="1"/>
  <c r="C69" i="20" s="1"/>
  <c r="C70" i="20" s="1"/>
  <c r="C71" i="20" s="1"/>
  <c r="C72" i="20" s="1"/>
  <c r="C73" i="20" s="1"/>
  <c r="C74" i="20" s="1"/>
  <c r="C75" i="20" s="1"/>
  <c r="C76" i="20" s="1"/>
  <c r="I19" i="20"/>
  <c r="Q19" i="20" s="1"/>
  <c r="B19" i="20" s="1"/>
  <c r="J35" i="20"/>
  <c r="J59" i="20"/>
  <c r="I44" i="20"/>
  <c r="I60" i="20"/>
  <c r="J71" i="20"/>
  <c r="I18" i="20"/>
  <c r="Q18" i="20" s="1"/>
  <c r="B18" i="20" s="1"/>
  <c r="I42" i="20"/>
  <c r="I58" i="20"/>
  <c r="J63" i="20"/>
  <c r="J55" i="20"/>
  <c r="J47" i="20"/>
  <c r="J39" i="20"/>
  <c r="J31" i="20"/>
  <c r="J23" i="20"/>
  <c r="J67" i="20"/>
  <c r="J19" i="20"/>
  <c r="I71" i="20"/>
  <c r="I63" i="20"/>
  <c r="I59" i="20"/>
  <c r="I55" i="20"/>
  <c r="I51" i="20"/>
  <c r="I47" i="20"/>
  <c r="I39" i="20"/>
  <c r="I35" i="20"/>
  <c r="I31" i="20"/>
  <c r="I27" i="20"/>
  <c r="I23" i="20"/>
  <c r="Q23" i="20" s="1"/>
  <c r="B23" i="20" s="1"/>
  <c r="J66" i="20"/>
  <c r="J58" i="20"/>
  <c r="J50" i="20"/>
  <c r="J42" i="20"/>
  <c r="J26" i="20"/>
  <c r="J18" i="20"/>
  <c r="J76" i="20"/>
  <c r="J68" i="20"/>
  <c r="J60" i="20"/>
  <c r="J52" i="20"/>
  <c r="J44" i="20"/>
  <c r="N18" i="20"/>
  <c r="O18" i="20"/>
  <c r="N26" i="20"/>
  <c r="O26" i="20"/>
  <c r="N42" i="20"/>
  <c r="O42" i="20"/>
  <c r="N50" i="20"/>
  <c r="O50" i="20"/>
  <c r="N58" i="20"/>
  <c r="O58" i="20"/>
  <c r="N66" i="20"/>
  <c r="O66" i="20"/>
  <c r="N52" i="20"/>
  <c r="O52" i="20"/>
  <c r="N76" i="20"/>
  <c r="O76" i="20"/>
  <c r="O11" i="20"/>
  <c r="N11" i="20"/>
  <c r="N44" i="20"/>
  <c r="O44" i="20"/>
  <c r="N60" i="20"/>
  <c r="O60" i="20"/>
  <c r="O19" i="20"/>
  <c r="N19" i="20"/>
  <c r="O27" i="20"/>
  <c r="N27" i="20"/>
  <c r="O35" i="20"/>
  <c r="N35" i="20"/>
  <c r="O51" i="20"/>
  <c r="N51" i="20"/>
  <c r="O59" i="20"/>
  <c r="N59" i="20"/>
  <c r="O67" i="20"/>
  <c r="N67" i="20"/>
  <c r="N68" i="20"/>
  <c r="O68" i="20"/>
  <c r="P73" i="20"/>
  <c r="P65" i="20"/>
  <c r="P57" i="20"/>
  <c r="P49" i="20"/>
  <c r="P41" i="20"/>
  <c r="P33" i="20"/>
  <c r="P25" i="20"/>
  <c r="P17" i="20"/>
  <c r="P9" i="20"/>
  <c r="P72" i="20"/>
  <c r="P64" i="20"/>
  <c r="P56" i="20"/>
  <c r="P48" i="20"/>
  <c r="P40" i="20"/>
  <c r="P32" i="20"/>
  <c r="P24" i="20"/>
  <c r="P16" i="20"/>
  <c r="P8" i="20"/>
  <c r="P15" i="20"/>
  <c r="P70" i="20"/>
  <c r="P62" i="20"/>
  <c r="P54" i="20"/>
  <c r="P46" i="20"/>
  <c r="P38" i="20"/>
  <c r="P30" i="20"/>
  <c r="P22" i="20"/>
  <c r="P14" i="20"/>
  <c r="P6" i="20"/>
  <c r="O71" i="20"/>
  <c r="O63" i="20"/>
  <c r="O55" i="20"/>
  <c r="O47" i="20"/>
  <c r="O39" i="20"/>
  <c r="O31" i="20"/>
  <c r="O23" i="20"/>
  <c r="O7" i="20"/>
  <c r="P4" i="20"/>
  <c r="P69" i="20"/>
  <c r="P61" i="20"/>
  <c r="P53" i="20"/>
  <c r="P45" i="20"/>
  <c r="P37" i="20"/>
  <c r="P29" i="20"/>
  <c r="P21" i="20"/>
  <c r="P13" i="20"/>
  <c r="P5" i="20"/>
  <c r="P36" i="20"/>
  <c r="P28" i="20"/>
  <c r="P20" i="20"/>
  <c r="P12" i="20"/>
  <c r="P75" i="20"/>
  <c r="P43" i="20"/>
  <c r="P74" i="20"/>
  <c r="P34" i="20"/>
  <c r="P10" i="20"/>
  <c r="Q11" i="20" l="1"/>
  <c r="B11" i="20" s="1"/>
  <c r="Q7" i="20"/>
  <c r="B7" i="20" s="1"/>
  <c r="I20" i="20"/>
  <c r="J20" i="20"/>
  <c r="I45" i="20"/>
  <c r="J45" i="20"/>
  <c r="I72" i="20"/>
  <c r="J72" i="20"/>
  <c r="I57" i="20"/>
  <c r="J57" i="20"/>
  <c r="I28" i="20"/>
  <c r="J28" i="20"/>
  <c r="I53" i="20"/>
  <c r="J53" i="20"/>
  <c r="I38" i="20"/>
  <c r="J38" i="20"/>
  <c r="I16" i="20"/>
  <c r="Q16" i="20" s="1"/>
  <c r="B16" i="20" s="1"/>
  <c r="J16" i="20"/>
  <c r="I65" i="20"/>
  <c r="J65" i="20"/>
  <c r="I36" i="20"/>
  <c r="J36" i="20"/>
  <c r="I61" i="20"/>
  <c r="J61" i="20"/>
  <c r="I46" i="20"/>
  <c r="J46" i="20"/>
  <c r="I24" i="20"/>
  <c r="J24" i="20"/>
  <c r="I73" i="20"/>
  <c r="J73" i="20"/>
  <c r="I62" i="20"/>
  <c r="J62" i="20"/>
  <c r="I40" i="20"/>
  <c r="J40" i="20"/>
  <c r="I25" i="20"/>
  <c r="J25" i="20"/>
  <c r="I69" i="20"/>
  <c r="J69" i="20"/>
  <c r="I54" i="20"/>
  <c r="J54" i="20"/>
  <c r="I17" i="20"/>
  <c r="Q17" i="20" s="1"/>
  <c r="B17" i="20" s="1"/>
  <c r="J17" i="20"/>
  <c r="I74" i="20"/>
  <c r="J74" i="20"/>
  <c r="J43" i="20"/>
  <c r="I43" i="20"/>
  <c r="I21" i="20"/>
  <c r="J21" i="20"/>
  <c r="I34" i="20"/>
  <c r="J34" i="20"/>
  <c r="I32" i="20"/>
  <c r="J32" i="20"/>
  <c r="I30" i="20"/>
  <c r="J30" i="20"/>
  <c r="I70" i="20"/>
  <c r="J70" i="20"/>
  <c r="I48" i="20"/>
  <c r="J48" i="20"/>
  <c r="I33" i="20"/>
  <c r="J33" i="20"/>
  <c r="I75" i="20"/>
  <c r="J75" i="20"/>
  <c r="I29" i="20"/>
  <c r="J29" i="20"/>
  <c r="J15" i="20"/>
  <c r="I15" i="20"/>
  <c r="I56" i="20"/>
  <c r="J56" i="20"/>
  <c r="I41" i="20"/>
  <c r="J41" i="20"/>
  <c r="I37" i="20"/>
  <c r="J37" i="20"/>
  <c r="I22" i="20"/>
  <c r="Q22" i="20" s="1"/>
  <c r="B22" i="20" s="1"/>
  <c r="J22" i="20"/>
  <c r="I64" i="20"/>
  <c r="J64" i="20"/>
  <c r="I49" i="20"/>
  <c r="J49" i="20"/>
  <c r="N10" i="20"/>
  <c r="O10" i="20"/>
  <c r="N28" i="20"/>
  <c r="O28" i="20"/>
  <c r="N29" i="20"/>
  <c r="O29" i="20"/>
  <c r="N30" i="20"/>
  <c r="O30" i="20"/>
  <c r="N8" i="20"/>
  <c r="O8" i="20"/>
  <c r="N72" i="20"/>
  <c r="O72" i="20"/>
  <c r="N49" i="20"/>
  <c r="O49" i="20"/>
  <c r="N34" i="20"/>
  <c r="O34" i="20"/>
  <c r="N36" i="20"/>
  <c r="O36" i="20"/>
  <c r="N37" i="20"/>
  <c r="O37" i="20"/>
  <c r="N38" i="20"/>
  <c r="O38" i="20"/>
  <c r="N16" i="20"/>
  <c r="O16" i="20"/>
  <c r="N57" i="20"/>
  <c r="O57" i="20"/>
  <c r="N21" i="20"/>
  <c r="O21" i="20"/>
  <c r="N22" i="20"/>
  <c r="O22" i="20"/>
  <c r="N64" i="20"/>
  <c r="O64" i="20"/>
  <c r="N74" i="20"/>
  <c r="O74" i="20"/>
  <c r="N45" i="20"/>
  <c r="O45" i="20"/>
  <c r="N24" i="20"/>
  <c r="O24" i="20"/>
  <c r="N46" i="20"/>
  <c r="O46" i="20"/>
  <c r="N65" i="20"/>
  <c r="O65" i="20"/>
  <c r="N53" i="20"/>
  <c r="O53" i="20"/>
  <c r="N54" i="20"/>
  <c r="O54" i="20"/>
  <c r="N32" i="20"/>
  <c r="O32" i="20"/>
  <c r="N9" i="20"/>
  <c r="O9" i="20"/>
  <c r="N73" i="20"/>
  <c r="O73" i="20"/>
  <c r="O43" i="20"/>
  <c r="N43" i="20"/>
  <c r="N61" i="20"/>
  <c r="O61" i="20"/>
  <c r="N62" i="20"/>
  <c r="O62" i="20"/>
  <c r="N40" i="20"/>
  <c r="O40" i="20"/>
  <c r="N17" i="20"/>
  <c r="O17" i="20"/>
  <c r="O75" i="20"/>
  <c r="N75" i="20"/>
  <c r="N5" i="20"/>
  <c r="O5" i="20"/>
  <c r="N69" i="20"/>
  <c r="O69" i="20"/>
  <c r="N6" i="20"/>
  <c r="O6" i="20"/>
  <c r="N70" i="20"/>
  <c r="O70" i="20"/>
  <c r="N48" i="20"/>
  <c r="O48" i="20"/>
  <c r="N25" i="20"/>
  <c r="O25" i="20"/>
  <c r="N20" i="20"/>
  <c r="O20" i="20"/>
  <c r="N41" i="20"/>
  <c r="O41" i="20"/>
  <c r="N12" i="20"/>
  <c r="O12" i="20"/>
  <c r="N13" i="20"/>
  <c r="O13" i="20"/>
  <c r="N4" i="20"/>
  <c r="O4" i="20"/>
  <c r="N14" i="20"/>
  <c r="O14" i="20"/>
  <c r="N15" i="20"/>
  <c r="O15" i="20"/>
  <c r="N56" i="20"/>
  <c r="O56" i="20"/>
  <c r="N33" i="20"/>
  <c r="O33" i="20"/>
  <c r="Q4" i="20" l="1"/>
  <c r="B4" i="20" s="1"/>
  <c r="Q6" i="20"/>
  <c r="B6" i="20" s="1"/>
  <c r="Q24" i="20"/>
  <c r="B24" i="20" s="1"/>
  <c r="L30" i="20" s="1"/>
  <c r="Q30" i="20" s="1"/>
  <c r="B30" i="20" s="1"/>
  <c r="Q20" i="20"/>
  <c r="B20" i="20" s="1"/>
  <c r="Q14" i="20"/>
  <c r="B14" i="20" s="1"/>
  <c r="Q15" i="20"/>
  <c r="B15" i="20" s="1"/>
  <c r="Q13" i="20"/>
  <c r="B13" i="20" s="1"/>
  <c r="Q12" i="20"/>
  <c r="B12" i="20" s="1"/>
  <c r="D13" i="20" s="1"/>
  <c r="Q5" i="20"/>
  <c r="B5" i="20" s="1"/>
  <c r="Q9" i="20"/>
  <c r="B9" i="20" s="1"/>
  <c r="Q8" i="20"/>
  <c r="B8" i="20" s="1"/>
  <c r="Q10" i="20"/>
  <c r="B10" i="20" s="1"/>
  <c r="Q21" i="20"/>
  <c r="B21" i="20" s="1"/>
  <c r="L21" i="20"/>
  <c r="L29" i="20"/>
  <c r="Q29" i="20" s="1"/>
  <c r="B29" i="20" s="1"/>
  <c r="L22" i="20"/>
  <c r="L15" i="20"/>
  <c r="L23" i="20"/>
  <c r="L31" i="20"/>
  <c r="Q31" i="20" s="1"/>
  <c r="B31" i="20" s="1"/>
  <c r="L16" i="20"/>
  <c r="L24" i="20"/>
  <c r="L32" i="20"/>
  <c r="Q32" i="20" s="1"/>
  <c r="B32" i="20" s="1"/>
  <c r="L17" i="20"/>
  <c r="L25" i="20"/>
  <c r="Q25" i="20" s="1"/>
  <c r="B25" i="20" s="1"/>
  <c r="L33" i="20"/>
  <c r="Q33" i="20" s="1"/>
  <c r="B33" i="20" s="1"/>
  <c r="L18" i="20"/>
  <c r="L26" i="20"/>
  <c r="Q26" i="20" s="1"/>
  <c r="B26" i="20" s="1"/>
  <c r="L34" i="20"/>
  <c r="Q34" i="20" s="1"/>
  <c r="B34" i="20" s="1"/>
  <c r="L19" i="20"/>
  <c r="L27" i="20"/>
  <c r="Q27" i="20" s="1"/>
  <c r="B27" i="20" s="1"/>
  <c r="L20" i="20"/>
  <c r="L28" i="20"/>
  <c r="Q28" i="20" s="1"/>
  <c r="B28" i="20" s="1"/>
  <c r="H40" i="20"/>
  <c r="Q40" i="20" s="1"/>
  <c r="B40" i="20" s="1"/>
  <c r="H48" i="20"/>
  <c r="H41" i="20"/>
  <c r="Q41" i="20" s="1"/>
  <c r="B41" i="20" s="1"/>
  <c r="H42" i="20"/>
  <c r="Q42" i="20" s="1"/>
  <c r="B42" i="20" s="1"/>
  <c r="H50" i="20"/>
  <c r="H35" i="20"/>
  <c r="Q35" i="20" s="1"/>
  <c r="B35" i="20" s="1"/>
  <c r="H43" i="20"/>
  <c r="H51" i="20"/>
  <c r="H37" i="20"/>
  <c r="Q37" i="20" s="1"/>
  <c r="B37" i="20" s="1"/>
  <c r="H36" i="20"/>
  <c r="Q36" i="20" s="1"/>
  <c r="B36" i="20" s="1"/>
  <c r="H44" i="20"/>
  <c r="Q44" i="20" s="1"/>
  <c r="B44" i="20" s="1"/>
  <c r="H52" i="20"/>
  <c r="H53" i="20"/>
  <c r="H45" i="20"/>
  <c r="H49" i="20"/>
  <c r="H38" i="20"/>
  <c r="Q38" i="20" s="1"/>
  <c r="B38" i="20" s="1"/>
  <c r="H46" i="20"/>
  <c r="H54" i="20"/>
  <c r="H39" i="20"/>
  <c r="Q39" i="20" s="1"/>
  <c r="B39" i="20" s="1"/>
  <c r="H47" i="20"/>
  <c r="D6" i="20"/>
  <c r="D21" i="20"/>
  <c r="D22" i="20"/>
  <c r="D7" i="20"/>
  <c r="D9" i="20"/>
  <c r="D10" i="20"/>
  <c r="D11" i="20"/>
  <c r="D23" i="20"/>
  <c r="D17" i="20"/>
  <c r="D18" i="20"/>
  <c r="D8" i="20"/>
  <c r="D14" i="20"/>
  <c r="D5" i="20"/>
  <c r="D4" i="20"/>
  <c r="E4" i="20" s="1"/>
  <c r="F4" i="20" s="1"/>
  <c r="D12" i="20" l="1"/>
  <c r="Q43" i="20"/>
  <c r="B43" i="20" s="1"/>
  <c r="D34" i="20"/>
  <c r="D25" i="20"/>
  <c r="D19" i="20"/>
  <c r="D20" i="20"/>
  <c r="D24" i="20"/>
  <c r="E5" i="20"/>
  <c r="D39" i="20" l="1"/>
  <c r="D30" i="20"/>
  <c r="D38" i="20"/>
  <c r="D36" i="20"/>
  <c r="D29" i="20"/>
  <c r="D40" i="20"/>
  <c r="D31" i="20"/>
  <c r="D27" i="20"/>
  <c r="D37" i="20"/>
  <c r="D41" i="20"/>
  <c r="D28" i="20"/>
  <c r="D26" i="20"/>
  <c r="D35" i="20"/>
  <c r="L49" i="20"/>
  <c r="L54" i="20"/>
  <c r="H60" i="20"/>
  <c r="Q60" i="20" s="1"/>
  <c r="B60" i="20" s="1"/>
  <c r="L39" i="20"/>
  <c r="L42" i="20"/>
  <c r="H65" i="20"/>
  <c r="H68" i="20"/>
  <c r="H55" i="20"/>
  <c r="D44" i="20"/>
  <c r="L47" i="20"/>
  <c r="Q47" i="20" s="1"/>
  <c r="B47" i="20" s="1"/>
  <c r="L50" i="20"/>
  <c r="Q50" i="20" s="1"/>
  <c r="B50" i="20" s="1"/>
  <c r="H58" i="20"/>
  <c r="Q58" i="20" s="1"/>
  <c r="B58" i="20" s="1"/>
  <c r="H76" i="20"/>
  <c r="H63" i="20"/>
  <c r="Q63" i="20" s="1"/>
  <c r="B63" i="20" s="1"/>
  <c r="L40" i="20"/>
  <c r="L35" i="20"/>
  <c r="H59" i="20"/>
  <c r="Q59" i="20" s="1"/>
  <c r="B59" i="20" s="1"/>
  <c r="H57" i="20"/>
  <c r="Q57" i="20" s="1"/>
  <c r="B57" i="20" s="1"/>
  <c r="L37" i="20"/>
  <c r="H71" i="20"/>
  <c r="L45" i="20"/>
  <c r="L48" i="20"/>
  <c r="Q48" i="20" s="1"/>
  <c r="B48" i="20" s="1"/>
  <c r="L43" i="20"/>
  <c r="H67" i="20"/>
  <c r="H73" i="20"/>
  <c r="H66" i="20"/>
  <c r="H69" i="20"/>
  <c r="H56" i="20"/>
  <c r="Q56" i="20" s="1"/>
  <c r="B56" i="20" s="1"/>
  <c r="H62" i="20"/>
  <c r="Q62" i="20" s="1"/>
  <c r="B62" i="20" s="1"/>
  <c r="L52" i="20"/>
  <c r="H70" i="20"/>
  <c r="L53" i="20"/>
  <c r="Q53" i="20" s="1"/>
  <c r="B53" i="20" s="1"/>
  <c r="L44" i="20"/>
  <c r="L51" i="20"/>
  <c r="Q51" i="20" s="1"/>
  <c r="B51" i="20" s="1"/>
  <c r="H75" i="20"/>
  <c r="H74" i="20"/>
  <c r="L38" i="20"/>
  <c r="L41" i="20"/>
  <c r="L36" i="20"/>
  <c r="H61" i="20"/>
  <c r="Q61" i="20" s="1"/>
  <c r="B61" i="20" s="1"/>
  <c r="L46" i="20"/>
  <c r="H72" i="20"/>
  <c r="H64" i="20"/>
  <c r="Q64" i="20" s="1"/>
  <c r="B64" i="20" s="1"/>
  <c r="D33" i="20"/>
  <c r="D32" i="20"/>
  <c r="D43" i="20"/>
  <c r="D42" i="20"/>
  <c r="D15" i="20"/>
  <c r="D16" i="20"/>
  <c r="F5" i="20"/>
  <c r="E6" i="20"/>
  <c r="Q55" i="20" l="1"/>
  <c r="B55" i="20" s="1"/>
  <c r="Q52" i="20"/>
  <c r="B52" i="20" s="1"/>
  <c r="Q65" i="20"/>
  <c r="B65" i="20" s="1"/>
  <c r="Q54" i="20"/>
  <c r="B54" i="20" s="1"/>
  <c r="Q45" i="20"/>
  <c r="Q46" i="20"/>
  <c r="B46" i="20" s="1"/>
  <c r="Q49" i="20"/>
  <c r="B49" i="20" s="1"/>
  <c r="F6" i="20"/>
  <c r="E7" i="20"/>
  <c r="B45" i="20" l="1"/>
  <c r="D45" i="20" s="1"/>
  <c r="D55" i="20"/>
  <c r="L61" i="20"/>
  <c r="L57" i="20"/>
  <c r="L65" i="20"/>
  <c r="L60" i="20"/>
  <c r="L56" i="20"/>
  <c r="L73" i="20"/>
  <c r="Q73" i="20" s="1"/>
  <c r="B73" i="20" s="1"/>
  <c r="L63" i="20"/>
  <c r="L58" i="20"/>
  <c r="L59" i="20"/>
  <c r="L75" i="20"/>
  <c r="Q75" i="20" s="1"/>
  <c r="B75" i="20" s="1"/>
  <c r="L71" i="20"/>
  <c r="L67" i="20"/>
  <c r="Q67" i="20" s="1"/>
  <c r="B67" i="20" s="1"/>
  <c r="L76" i="20"/>
  <c r="Q76" i="20" s="1"/>
  <c r="B76" i="20" s="1"/>
  <c r="L62" i="20"/>
  <c r="L55" i="20"/>
  <c r="L74" i="20"/>
  <c r="Q74" i="20" s="1"/>
  <c r="B74" i="20" s="1"/>
  <c r="L64" i="20"/>
  <c r="L66" i="20"/>
  <c r="Q66" i="20" s="1"/>
  <c r="L69" i="20"/>
  <c r="Q69" i="20" s="1"/>
  <c r="B69" i="20" s="1"/>
  <c r="L72" i="20"/>
  <c r="L68" i="20"/>
  <c r="Q68" i="20" s="1"/>
  <c r="B68" i="20" s="1"/>
  <c r="L70" i="20"/>
  <c r="Q70" i="20" s="1"/>
  <c r="B70" i="20" s="1"/>
  <c r="D46" i="20"/>
  <c r="D50" i="20"/>
  <c r="D56" i="20"/>
  <c r="D63" i="20"/>
  <c r="D61" i="20"/>
  <c r="D65" i="20"/>
  <c r="D57" i="20"/>
  <c r="D47" i="20"/>
  <c r="D59" i="20"/>
  <c r="D58" i="20"/>
  <c r="D53" i="20"/>
  <c r="D54" i="20"/>
  <c r="D60" i="20"/>
  <c r="D48" i="20"/>
  <c r="D49" i="20"/>
  <c r="D62" i="20"/>
  <c r="D51" i="20"/>
  <c r="D64" i="20"/>
  <c r="D52" i="20"/>
  <c r="F7" i="20"/>
  <c r="E8" i="20"/>
  <c r="B66" i="20" l="1"/>
  <c r="D67" i="20" s="1"/>
  <c r="D74" i="20"/>
  <c r="D68" i="20"/>
  <c r="D76" i="20"/>
  <c r="Q72" i="20"/>
  <c r="B72" i="20" s="1"/>
  <c r="Q71" i="20"/>
  <c r="D70" i="20"/>
  <c r="D69" i="20"/>
  <c r="D75" i="20"/>
  <c r="F8" i="20"/>
  <c r="E9" i="20"/>
  <c r="D66" i="20" l="1"/>
  <c r="B71" i="20"/>
  <c r="D72" i="20" s="1"/>
  <c r="D73" i="20"/>
  <c r="F9" i="20"/>
  <c r="E10" i="20"/>
  <c r="D71" i="20" l="1"/>
  <c r="F10" i="20"/>
  <c r="E11" i="20"/>
  <c r="E12" i="20" l="1"/>
  <c r="F11" i="20"/>
  <c r="E13" i="20" l="1"/>
  <c r="F12" i="20"/>
  <c r="F13" i="20" l="1"/>
  <c r="E14" i="20"/>
  <c r="F14" i="20" l="1"/>
  <c r="E15" i="20"/>
  <c r="F15" i="20" l="1"/>
  <c r="E16" i="20"/>
  <c r="F16" i="20" l="1"/>
  <c r="E17" i="20"/>
  <c r="F17" i="20" l="1"/>
  <c r="E18" i="20"/>
  <c r="E19" i="20" l="1"/>
  <c r="F18" i="20"/>
  <c r="E20" i="20" l="1"/>
  <c r="F19" i="20"/>
  <c r="F20" i="20" l="1"/>
  <c r="E21" i="20"/>
  <c r="E22" i="20" l="1"/>
  <c r="F21" i="20"/>
  <c r="F22" i="20" l="1"/>
  <c r="E23" i="20"/>
  <c r="F23" i="20" l="1"/>
  <c r="E24" i="20"/>
  <c r="F24" i="20" l="1"/>
  <c r="E25" i="20"/>
  <c r="F25" i="20" l="1"/>
  <c r="E26" i="20"/>
  <c r="F26" i="20" l="1"/>
  <c r="E27" i="20"/>
  <c r="F27" i="20" l="1"/>
  <c r="E28" i="20"/>
  <c r="E29" i="20" l="1"/>
  <c r="F28" i="20"/>
  <c r="F29" i="20" l="1"/>
  <c r="E30" i="20"/>
  <c r="F30" i="20" l="1"/>
  <c r="E31" i="20"/>
  <c r="F31" i="20" l="1"/>
  <c r="E32" i="20"/>
  <c r="E33" i="20" l="1"/>
  <c r="F32" i="20"/>
  <c r="E34" i="20" l="1"/>
  <c r="F33" i="20"/>
  <c r="F34" i="20" l="1"/>
  <c r="E35" i="20"/>
  <c r="F35" i="20" l="1"/>
  <c r="E36" i="20"/>
  <c r="E37" i="20" l="1"/>
  <c r="F36" i="20"/>
  <c r="F37" i="20" l="1"/>
  <c r="E38" i="20"/>
  <c r="F38" i="20" l="1"/>
  <c r="E39" i="20"/>
  <c r="F39" i="20" l="1"/>
  <c r="E40" i="20"/>
  <c r="F40" i="20" l="1"/>
  <c r="E41" i="20"/>
  <c r="F41" i="20" l="1"/>
  <c r="E42" i="20"/>
  <c r="F42" i="20" l="1"/>
  <c r="E43" i="20"/>
  <c r="F43" i="20" l="1"/>
  <c r="E44" i="20"/>
  <c r="E45" i="20" l="1"/>
  <c r="F44" i="20"/>
  <c r="F45" i="20" l="1"/>
  <c r="E46" i="20"/>
  <c r="F46" i="20" l="1"/>
  <c r="E47" i="20"/>
  <c r="E48" i="20" l="1"/>
  <c r="F47" i="20"/>
  <c r="F48" i="20" l="1"/>
  <c r="E49" i="20"/>
  <c r="J29" i="17"/>
  <c r="K29" i="17" s="1"/>
  <c r="K30" i="17" s="1"/>
  <c r="J26" i="17"/>
  <c r="I256" i="14"/>
  <c r="F49" i="20" l="1"/>
  <c r="E50" i="20"/>
  <c r="F50" i="20" l="1"/>
  <c r="E51" i="20"/>
  <c r="L28" i="6"/>
  <c r="L29" i="6" s="1"/>
  <c r="F51" i="20" l="1"/>
  <c r="E52" i="20"/>
  <c r="C3" i="8"/>
  <c r="C4" i="8" s="1"/>
  <c r="C5" i="8" s="1"/>
  <c r="C6" i="8" s="1"/>
  <c r="C7" i="8" s="1"/>
  <c r="C8" i="8" s="1"/>
  <c r="C9" i="8" s="1"/>
  <c r="C10" i="8" s="1"/>
  <c r="C11" i="8" s="1"/>
  <c r="C12" i="8" s="1"/>
  <c r="C13" i="8" s="1"/>
  <c r="C14" i="8" s="1"/>
  <c r="C15" i="8" s="1"/>
  <c r="C16" i="8" s="1"/>
  <c r="C17" i="8" s="1"/>
  <c r="C18" i="8" s="1"/>
  <c r="C19" i="8" s="1"/>
  <c r="C20" i="8" s="1"/>
  <c r="C21" i="8" s="1"/>
  <c r="C22" i="8" s="1"/>
  <c r="C23" i="8" s="1"/>
  <c r="C24" i="8" s="1"/>
  <c r="C25" i="8" s="1"/>
  <c r="C26" i="8" s="1"/>
  <c r="C27" i="8" s="1"/>
  <c r="C28" i="8" s="1"/>
  <c r="C29" i="8" s="1"/>
  <c r="C30" i="8" s="1"/>
  <c r="C31" i="8" s="1"/>
  <c r="C32" i="8" s="1"/>
  <c r="C33" i="8" s="1"/>
  <c r="C34" i="8" s="1"/>
  <c r="C35" i="8" s="1"/>
  <c r="C36" i="8" s="1"/>
  <c r="C37" i="8" s="1"/>
  <c r="C38" i="8" s="1"/>
  <c r="C39" i="8" s="1"/>
  <c r="C40" i="8" s="1"/>
  <c r="C41" i="8" s="1"/>
  <c r="C42" i="8" s="1"/>
  <c r="C43" i="8" s="1"/>
  <c r="C44" i="8" s="1"/>
  <c r="C45" i="8" s="1"/>
  <c r="C46" i="8" s="1"/>
  <c r="C47" i="8" s="1"/>
  <c r="C48" i="8" s="1"/>
  <c r="C49" i="8" s="1"/>
  <c r="C50" i="8" s="1"/>
  <c r="C51" i="8" s="1"/>
  <c r="C52" i="8" s="1"/>
  <c r="C53" i="8" s="1"/>
  <c r="C54" i="8" s="1"/>
  <c r="C55" i="8" s="1"/>
  <c r="C56" i="8" s="1"/>
  <c r="C57" i="8" s="1"/>
  <c r="C58" i="8" s="1"/>
  <c r="C59" i="8" s="1"/>
  <c r="C60" i="8" s="1"/>
  <c r="C61" i="8" s="1"/>
  <c r="C62" i="8" s="1"/>
  <c r="C63" i="8" s="1"/>
  <c r="C64" i="8" s="1"/>
  <c r="C65" i="8" s="1"/>
  <c r="K3" i="8"/>
  <c r="E53" i="20" l="1"/>
  <c r="F52" i="20"/>
  <c r="R5" i="8"/>
  <c r="A3" i="8"/>
  <c r="A4" i="8" s="1"/>
  <c r="A5" i="8" s="1"/>
  <c r="A6" i="8" s="1"/>
  <c r="A7" i="8" s="1"/>
  <c r="A8" i="8" s="1"/>
  <c r="A9" i="8" s="1"/>
  <c r="A10" i="8" s="1"/>
  <c r="A11" i="8" s="1"/>
  <c r="A12" i="8" s="1"/>
  <c r="A13" i="8" s="1"/>
  <c r="A14" i="8" s="1"/>
  <c r="A15" i="8" s="1"/>
  <c r="A16" i="8" s="1"/>
  <c r="A17" i="8" s="1"/>
  <c r="A18" i="8" s="1"/>
  <c r="A19" i="8" s="1"/>
  <c r="A20" i="8" s="1"/>
  <c r="A21" i="8" s="1"/>
  <c r="A22" i="8" s="1"/>
  <c r="A23" i="8" s="1"/>
  <c r="A24" i="8" s="1"/>
  <c r="A25" i="8" s="1"/>
  <c r="A26" i="8" s="1"/>
  <c r="A27" i="8" s="1"/>
  <c r="A28" i="8" s="1"/>
  <c r="A29" i="8" s="1"/>
  <c r="A30" i="8" s="1"/>
  <c r="A31" i="8" s="1"/>
  <c r="A32" i="8" s="1"/>
  <c r="A33" i="8" s="1"/>
  <c r="A34" i="8" s="1"/>
  <c r="A35" i="8" s="1"/>
  <c r="A36" i="8" s="1"/>
  <c r="A37" i="8" s="1"/>
  <c r="A38" i="8" s="1"/>
  <c r="A39" i="8" s="1"/>
  <c r="A40" i="8" s="1"/>
  <c r="A41" i="8" s="1"/>
  <c r="A42" i="8" s="1"/>
  <c r="A43" i="8" s="1"/>
  <c r="A44" i="8" s="1"/>
  <c r="A45" i="8" s="1"/>
  <c r="A46" i="8" s="1"/>
  <c r="A47" i="8" s="1"/>
  <c r="A48" i="8" s="1"/>
  <c r="A49" i="8" s="1"/>
  <c r="A50" i="8" s="1"/>
  <c r="A51" i="8" s="1"/>
  <c r="A52" i="8" s="1"/>
  <c r="A53" i="8" s="1"/>
  <c r="A54" i="8" s="1"/>
  <c r="A55" i="8" s="1"/>
  <c r="A56" i="8" s="1"/>
  <c r="A57" i="8" s="1"/>
  <c r="A58" i="8" s="1"/>
  <c r="A59" i="8" s="1"/>
  <c r="A60" i="8" s="1"/>
  <c r="A61" i="8" s="1"/>
  <c r="A62" i="8" s="1"/>
  <c r="A63" i="8" s="1"/>
  <c r="A64" i="8" s="1"/>
  <c r="A65" i="8" s="1"/>
  <c r="O67" i="8" s="1"/>
  <c r="O68" i="8" l="1"/>
  <c r="O71" i="8"/>
  <c r="F53" i="20"/>
  <c r="E54" i="20"/>
  <c r="L3" i="14"/>
  <c r="L4" i="14"/>
  <c r="L5" i="14"/>
  <c r="L6" i="14"/>
  <c r="L7" i="14"/>
  <c r="L8" i="14"/>
  <c r="L9" i="14"/>
  <c r="L10" i="14"/>
  <c r="L11" i="14"/>
  <c r="L12" i="14"/>
  <c r="L13" i="14"/>
  <c r="L14" i="14"/>
  <c r="L15" i="14"/>
  <c r="L16" i="14"/>
  <c r="L17" i="14"/>
  <c r="L18" i="14"/>
  <c r="L19" i="14"/>
  <c r="L20" i="14"/>
  <c r="L21" i="14"/>
  <c r="L22" i="14"/>
  <c r="L23" i="14"/>
  <c r="L24" i="14"/>
  <c r="L25" i="14"/>
  <c r="L26" i="14"/>
  <c r="L27" i="14"/>
  <c r="L28" i="14"/>
  <c r="L29" i="14"/>
  <c r="L30" i="14"/>
  <c r="L31" i="14"/>
  <c r="L32" i="14"/>
  <c r="L33" i="14"/>
  <c r="L34" i="14"/>
  <c r="L35" i="14"/>
  <c r="L36" i="14"/>
  <c r="L37" i="14"/>
  <c r="L38" i="14"/>
  <c r="L39" i="14"/>
  <c r="L40" i="14"/>
  <c r="L41" i="14"/>
  <c r="L42" i="14"/>
  <c r="L43" i="14"/>
  <c r="L44" i="14"/>
  <c r="L45" i="14"/>
  <c r="L46" i="14"/>
  <c r="L47" i="14"/>
  <c r="L48" i="14"/>
  <c r="L49" i="14"/>
  <c r="L50" i="14"/>
  <c r="L51" i="14"/>
  <c r="L52" i="14"/>
  <c r="L53" i="14"/>
  <c r="L54" i="14"/>
  <c r="L55" i="14"/>
  <c r="L56" i="14"/>
  <c r="L57" i="14"/>
  <c r="L58" i="14"/>
  <c r="L59" i="14"/>
  <c r="L60" i="14"/>
  <c r="L61" i="14"/>
  <c r="L62" i="14"/>
  <c r="L63" i="14"/>
  <c r="L64" i="14"/>
  <c r="L65" i="14"/>
  <c r="L66" i="14"/>
  <c r="L67" i="14"/>
  <c r="L68" i="14"/>
  <c r="L69" i="14"/>
  <c r="L70" i="14"/>
  <c r="L71" i="14"/>
  <c r="L72" i="14"/>
  <c r="L73" i="14"/>
  <c r="L74" i="14"/>
  <c r="L75" i="14"/>
  <c r="L76" i="14"/>
  <c r="L77" i="14"/>
  <c r="L78" i="14"/>
  <c r="L79" i="14"/>
  <c r="L80" i="14"/>
  <c r="L81" i="14"/>
  <c r="L82" i="14"/>
  <c r="L83" i="14"/>
  <c r="L84" i="14"/>
  <c r="L85" i="14"/>
  <c r="L86" i="14"/>
  <c r="L87" i="14"/>
  <c r="L88" i="14"/>
  <c r="L89" i="14"/>
  <c r="L90" i="14"/>
  <c r="L91" i="14"/>
  <c r="L92" i="14"/>
  <c r="L94" i="14"/>
  <c r="L95" i="14"/>
  <c r="L96" i="14"/>
  <c r="L97" i="14"/>
  <c r="L99" i="14"/>
  <c r="L100" i="14"/>
  <c r="L101" i="14"/>
  <c r="L102" i="14"/>
  <c r="L103" i="14"/>
  <c r="L104" i="14"/>
  <c r="L105" i="14"/>
  <c r="L106" i="14"/>
  <c r="L107" i="14"/>
  <c r="L108" i="14"/>
  <c r="L109" i="14"/>
  <c r="L110" i="14"/>
  <c r="L111" i="14"/>
  <c r="L112" i="14"/>
  <c r="L113" i="14"/>
  <c r="L114" i="14"/>
  <c r="L115" i="14"/>
  <c r="L116" i="14"/>
  <c r="L117" i="14"/>
  <c r="L118" i="14"/>
  <c r="L119" i="14"/>
  <c r="L120" i="14"/>
  <c r="L121" i="14"/>
  <c r="L122" i="14"/>
  <c r="L123" i="14"/>
  <c r="L124" i="14"/>
  <c r="L125" i="14"/>
  <c r="L126" i="14"/>
  <c r="L127" i="14"/>
  <c r="L128" i="14"/>
  <c r="L129" i="14"/>
  <c r="L130" i="14"/>
  <c r="L131" i="14"/>
  <c r="L132" i="14"/>
  <c r="L133" i="14"/>
  <c r="L134" i="14"/>
  <c r="L135" i="14"/>
  <c r="L136" i="14"/>
  <c r="L137" i="14"/>
  <c r="L138" i="14"/>
  <c r="L139" i="14"/>
  <c r="L140" i="14"/>
  <c r="L141" i="14"/>
  <c r="L142" i="14"/>
  <c r="L143" i="14"/>
  <c r="L144" i="14"/>
  <c r="L145" i="14"/>
  <c r="L146" i="14"/>
  <c r="L147" i="14"/>
  <c r="L148" i="14"/>
  <c r="L149" i="14"/>
  <c r="L150" i="14"/>
  <c r="L151" i="14"/>
  <c r="L152" i="14"/>
  <c r="L153" i="14"/>
  <c r="L154" i="14"/>
  <c r="L155" i="14"/>
  <c r="L156" i="14"/>
  <c r="L157" i="14"/>
  <c r="L158" i="14"/>
  <c r="L159" i="14"/>
  <c r="L160" i="14"/>
  <c r="L161" i="14"/>
  <c r="L162" i="14"/>
  <c r="L163" i="14"/>
  <c r="L164" i="14"/>
  <c r="L165" i="14"/>
  <c r="L166" i="14"/>
  <c r="L167" i="14"/>
  <c r="L168" i="14"/>
  <c r="L169" i="14"/>
  <c r="L170" i="14"/>
  <c r="L171" i="14"/>
  <c r="L172" i="14"/>
  <c r="L173" i="14"/>
  <c r="L174" i="14"/>
  <c r="L175" i="14"/>
  <c r="L176" i="14"/>
  <c r="L177" i="14"/>
  <c r="L178" i="14"/>
  <c r="L179" i="14"/>
  <c r="L180" i="14"/>
  <c r="L181" i="14"/>
  <c r="L182" i="14"/>
  <c r="L183" i="14"/>
  <c r="L184" i="14"/>
  <c r="L185" i="14"/>
  <c r="L186" i="14"/>
  <c r="L187" i="14"/>
  <c r="L188" i="14"/>
  <c r="L189" i="14"/>
  <c r="L190" i="14"/>
  <c r="L191" i="14"/>
  <c r="L192" i="14"/>
  <c r="L193" i="14"/>
  <c r="L194" i="14"/>
  <c r="L195" i="14"/>
  <c r="L196" i="14"/>
  <c r="L197" i="14"/>
  <c r="L198" i="14"/>
  <c r="L199" i="14"/>
  <c r="L200" i="14"/>
  <c r="L201" i="14"/>
  <c r="L202" i="14"/>
  <c r="L203" i="14"/>
  <c r="L204" i="14"/>
  <c r="L205" i="14"/>
  <c r="L206" i="14"/>
  <c r="L207" i="14"/>
  <c r="L208" i="14"/>
  <c r="L209" i="14"/>
  <c r="L210" i="14"/>
  <c r="L211" i="14"/>
  <c r="L212" i="14"/>
  <c r="L213" i="14"/>
  <c r="L214" i="14"/>
  <c r="L215" i="14"/>
  <c r="L216" i="14"/>
  <c r="L217" i="14"/>
  <c r="L218" i="14"/>
  <c r="L219" i="14"/>
  <c r="L220" i="14"/>
  <c r="L221" i="14"/>
  <c r="L222" i="14"/>
  <c r="L223" i="14"/>
  <c r="L224" i="14"/>
  <c r="L225" i="14"/>
  <c r="L226" i="14"/>
  <c r="L227" i="14"/>
  <c r="L228" i="14"/>
  <c r="L229" i="14"/>
  <c r="L230" i="14"/>
  <c r="L231" i="14"/>
  <c r="L232" i="14"/>
  <c r="L233" i="14"/>
  <c r="L234" i="14"/>
  <c r="L235" i="14"/>
  <c r="L236" i="14"/>
  <c r="L237" i="14"/>
  <c r="L238" i="14"/>
  <c r="L239" i="14"/>
  <c r="L240" i="14"/>
  <c r="L241" i="14"/>
  <c r="L242" i="14"/>
  <c r="L243" i="14"/>
  <c r="L244" i="14"/>
  <c r="L245" i="14"/>
  <c r="L246" i="14"/>
  <c r="L247" i="14"/>
  <c r="L248" i="14"/>
  <c r="L249" i="14"/>
  <c r="L250" i="14"/>
  <c r="L251" i="14"/>
  <c r="L252" i="14"/>
  <c r="L253" i="14"/>
  <c r="L254" i="14"/>
  <c r="L2" i="14"/>
  <c r="C254" i="14"/>
  <c r="I23" i="17"/>
  <c r="M22" i="17"/>
  <c r="J22" i="17"/>
  <c r="G22" i="17"/>
  <c r="C22" i="17" s="1"/>
  <c r="M21" i="17"/>
  <c r="J21" i="17"/>
  <c r="G21" i="17"/>
  <c r="C21" i="17" s="1"/>
  <c r="D22" i="17" s="1"/>
  <c r="M20" i="17"/>
  <c r="J20" i="17"/>
  <c r="G20" i="17"/>
  <c r="C20" i="17" s="1"/>
  <c r="D21" i="17" s="1"/>
  <c r="M19" i="17"/>
  <c r="J19" i="17"/>
  <c r="G19" i="17"/>
  <c r="C19" i="17" s="1"/>
  <c r="D20" i="17" s="1"/>
  <c r="M18" i="17"/>
  <c r="J18" i="17"/>
  <c r="G18" i="17"/>
  <c r="C18" i="17" s="1"/>
  <c r="D19" i="17" s="1"/>
  <c r="M17" i="17"/>
  <c r="J17" i="17"/>
  <c r="G17" i="17"/>
  <c r="C17" i="17" s="1"/>
  <c r="D18" i="17" s="1"/>
  <c r="M16" i="17"/>
  <c r="J16" i="17"/>
  <c r="G16" i="17"/>
  <c r="C16" i="17" s="1"/>
  <c r="D17" i="17" s="1"/>
  <c r="M15" i="17"/>
  <c r="J15" i="17"/>
  <c r="G15" i="17"/>
  <c r="C15" i="17" s="1"/>
  <c r="D16" i="17" s="1"/>
  <c r="M14" i="17"/>
  <c r="J14" i="17"/>
  <c r="G14" i="17"/>
  <c r="C14" i="17" s="1"/>
  <c r="D15" i="17" s="1"/>
  <c r="M13" i="17"/>
  <c r="J13" i="17"/>
  <c r="G13" i="17"/>
  <c r="C13" i="17" s="1"/>
  <c r="D14" i="17" s="1"/>
  <c r="M12" i="17"/>
  <c r="J12" i="17"/>
  <c r="G12" i="17"/>
  <c r="C12" i="17" s="1"/>
  <c r="D13" i="17" s="1"/>
  <c r="M11" i="17"/>
  <c r="J11" i="17"/>
  <c r="G11" i="17"/>
  <c r="C11" i="17" s="1"/>
  <c r="D12" i="17" s="1"/>
  <c r="M10" i="17"/>
  <c r="J10" i="17"/>
  <c r="G10" i="17"/>
  <c r="C10" i="17" s="1"/>
  <c r="D11" i="17" s="1"/>
  <c r="M9" i="17"/>
  <c r="J9" i="17"/>
  <c r="G9" i="17"/>
  <c r="C9" i="17" s="1"/>
  <c r="D10" i="17" s="1"/>
  <c r="M8" i="17"/>
  <c r="J8" i="17"/>
  <c r="G8" i="17"/>
  <c r="C8" i="17" s="1"/>
  <c r="D9" i="17" s="1"/>
  <c r="M7" i="17"/>
  <c r="J7" i="17"/>
  <c r="G7" i="17"/>
  <c r="C7" i="17" s="1"/>
  <c r="D8" i="17" s="1"/>
  <c r="M6" i="17"/>
  <c r="J6" i="17"/>
  <c r="G6" i="17"/>
  <c r="C6" i="17" s="1"/>
  <c r="D7" i="17" s="1"/>
  <c r="M5" i="17"/>
  <c r="J5" i="17"/>
  <c r="G5" i="17"/>
  <c r="C5" i="17" s="1"/>
  <c r="D6" i="17" s="1"/>
  <c r="M4" i="17"/>
  <c r="J4" i="17"/>
  <c r="G4" i="17"/>
  <c r="C4" i="17" s="1"/>
  <c r="D5" i="17" s="1"/>
  <c r="M3" i="17"/>
  <c r="J3" i="17"/>
  <c r="G3" i="17"/>
  <c r="C3" i="17" s="1"/>
  <c r="O2" i="17" s="1"/>
  <c r="N9" i="17" l="1"/>
  <c r="AD73" i="8"/>
  <c r="N7" i="17"/>
  <c r="N12" i="17"/>
  <c r="E12" i="17" s="1"/>
  <c r="F12" i="17" s="1"/>
  <c r="N15" i="17"/>
  <c r="E15" i="17" s="1"/>
  <c r="F15" i="17" s="1"/>
  <c r="N5" i="17"/>
  <c r="E5" i="17" s="1"/>
  <c r="F5" i="17" s="1"/>
  <c r="N18" i="17"/>
  <c r="E18" i="17" s="1"/>
  <c r="F18" i="17" s="1"/>
  <c r="N8" i="17"/>
  <c r="E8" i="17" s="1"/>
  <c r="F8" i="17" s="1"/>
  <c r="N6" i="17"/>
  <c r="E6" i="17" s="1"/>
  <c r="F6" i="17" s="1"/>
  <c r="N11" i="17"/>
  <c r="E11" i="17" s="1"/>
  <c r="F11" i="17" s="1"/>
  <c r="N21" i="17"/>
  <c r="E21" i="17" s="1"/>
  <c r="F21" i="17" s="1"/>
  <c r="N22" i="17"/>
  <c r="E22" i="17" s="1"/>
  <c r="F22" i="17" s="1"/>
  <c r="N17" i="17"/>
  <c r="E17" i="17" s="1"/>
  <c r="F17" i="17" s="1"/>
  <c r="P2" i="17"/>
  <c r="O3" i="17"/>
  <c r="O4" i="17" s="1"/>
  <c r="O5" i="17" s="1"/>
  <c r="O6" i="17" s="1"/>
  <c r="O7" i="17" s="1"/>
  <c r="O8" i="17" s="1"/>
  <c r="O9" i="17" s="1"/>
  <c r="O10" i="17" s="1"/>
  <c r="O11" i="17" s="1"/>
  <c r="O12" i="17" s="1"/>
  <c r="O13" i="17" s="1"/>
  <c r="O14" i="17" s="1"/>
  <c r="O15" i="17" s="1"/>
  <c r="O16" i="17" s="1"/>
  <c r="O17" i="17" s="1"/>
  <c r="O18" i="17" s="1"/>
  <c r="O19" i="17" s="1"/>
  <c r="O20" i="17" s="1"/>
  <c r="O21" i="17" s="1"/>
  <c r="O22" i="17" s="1"/>
  <c r="F54" i="20"/>
  <c r="E55" i="20"/>
  <c r="N4" i="17"/>
  <c r="N16" i="17"/>
  <c r="E16" i="17" s="1"/>
  <c r="F16" i="17" s="1"/>
  <c r="N14" i="17"/>
  <c r="E14" i="17" s="1"/>
  <c r="F14" i="17" s="1"/>
  <c r="N19" i="17"/>
  <c r="E19" i="17" s="1"/>
  <c r="F19" i="17" s="1"/>
  <c r="E9" i="17"/>
  <c r="F9" i="17" s="1"/>
  <c r="N10" i="17"/>
  <c r="E10" i="17" s="1"/>
  <c r="F10" i="17" s="1"/>
  <c r="E7" i="17"/>
  <c r="F7" i="17" s="1"/>
  <c r="N20" i="17"/>
  <c r="E20" i="17" s="1"/>
  <c r="F20" i="17" s="1"/>
  <c r="I26" i="17"/>
  <c r="N3" i="17"/>
  <c r="K26" i="17"/>
  <c r="N13" i="17"/>
  <c r="E13" i="17" s="1"/>
  <c r="F13" i="17" s="1"/>
  <c r="D4" i="17"/>
  <c r="J3" i="14"/>
  <c r="J4" i="14"/>
  <c r="J6" i="14"/>
  <c r="J7" i="14"/>
  <c r="J8" i="14"/>
  <c r="J9" i="14"/>
  <c r="J10" i="14"/>
  <c r="J11" i="14"/>
  <c r="J12" i="14"/>
  <c r="J13" i="14"/>
  <c r="J14" i="14"/>
  <c r="J15" i="14"/>
  <c r="J16" i="14"/>
  <c r="J17" i="14"/>
  <c r="J18" i="14"/>
  <c r="J19" i="14"/>
  <c r="J20" i="14"/>
  <c r="J21" i="14"/>
  <c r="J22" i="14"/>
  <c r="J23" i="14"/>
  <c r="J24" i="14"/>
  <c r="J25" i="14"/>
  <c r="J26" i="14"/>
  <c r="J27" i="14"/>
  <c r="J28" i="14"/>
  <c r="J29" i="14"/>
  <c r="J30" i="14"/>
  <c r="J31" i="14"/>
  <c r="J32" i="14"/>
  <c r="J33" i="14"/>
  <c r="J34" i="14"/>
  <c r="J35" i="14"/>
  <c r="J36" i="14"/>
  <c r="J37" i="14"/>
  <c r="J38" i="14"/>
  <c r="J39" i="14"/>
  <c r="J40" i="14"/>
  <c r="J41" i="14"/>
  <c r="J42" i="14"/>
  <c r="J43" i="14"/>
  <c r="J44" i="14"/>
  <c r="J45" i="14"/>
  <c r="J46" i="14"/>
  <c r="J47" i="14"/>
  <c r="J48" i="14"/>
  <c r="J49" i="14"/>
  <c r="J50" i="14"/>
  <c r="J51" i="14"/>
  <c r="J52" i="14"/>
  <c r="J53" i="14"/>
  <c r="J54" i="14"/>
  <c r="J55" i="14"/>
  <c r="J56" i="14"/>
  <c r="J57" i="14"/>
  <c r="J58" i="14"/>
  <c r="J59" i="14"/>
  <c r="J60" i="14"/>
  <c r="J61" i="14"/>
  <c r="J62" i="14"/>
  <c r="J63" i="14"/>
  <c r="J64" i="14"/>
  <c r="J65" i="14"/>
  <c r="J66" i="14"/>
  <c r="J67" i="14"/>
  <c r="J68" i="14"/>
  <c r="J69" i="14"/>
  <c r="J70" i="14"/>
  <c r="J71" i="14"/>
  <c r="J72" i="14"/>
  <c r="J73" i="14"/>
  <c r="J74" i="14"/>
  <c r="J75" i="14"/>
  <c r="J76" i="14"/>
  <c r="J77" i="14"/>
  <c r="J78" i="14"/>
  <c r="J79" i="14"/>
  <c r="J80" i="14"/>
  <c r="J81" i="14"/>
  <c r="J82" i="14"/>
  <c r="J83" i="14"/>
  <c r="J84" i="14"/>
  <c r="J85" i="14"/>
  <c r="J86" i="14"/>
  <c r="J87" i="14"/>
  <c r="J88" i="14"/>
  <c r="J89" i="14"/>
  <c r="J90" i="14"/>
  <c r="J91" i="14"/>
  <c r="J92" i="14"/>
  <c r="J94" i="14"/>
  <c r="J95" i="14"/>
  <c r="J96" i="14"/>
  <c r="J97" i="14"/>
  <c r="J99" i="14"/>
  <c r="J100" i="14"/>
  <c r="J101" i="14"/>
  <c r="J102" i="14"/>
  <c r="J103" i="14"/>
  <c r="J104" i="14"/>
  <c r="J105" i="14"/>
  <c r="J106" i="14"/>
  <c r="J107" i="14"/>
  <c r="J108" i="14"/>
  <c r="J109" i="14"/>
  <c r="J110" i="14"/>
  <c r="J111" i="14"/>
  <c r="J112" i="14"/>
  <c r="J113" i="14"/>
  <c r="J114" i="14"/>
  <c r="J115" i="14"/>
  <c r="J116" i="14"/>
  <c r="J117" i="14"/>
  <c r="J118" i="14"/>
  <c r="J119" i="14"/>
  <c r="J120" i="14"/>
  <c r="J121" i="14"/>
  <c r="J122" i="14"/>
  <c r="J123" i="14"/>
  <c r="J124" i="14"/>
  <c r="J125" i="14"/>
  <c r="J126" i="14"/>
  <c r="J127" i="14"/>
  <c r="J128" i="14"/>
  <c r="J129" i="14"/>
  <c r="J130" i="14"/>
  <c r="J131" i="14"/>
  <c r="J132" i="14"/>
  <c r="J133" i="14"/>
  <c r="J134" i="14"/>
  <c r="J135" i="14"/>
  <c r="J136" i="14"/>
  <c r="J137" i="14"/>
  <c r="J138" i="14"/>
  <c r="J139" i="14"/>
  <c r="J140" i="14"/>
  <c r="J141" i="14"/>
  <c r="J142" i="14"/>
  <c r="J143" i="14"/>
  <c r="J144" i="14"/>
  <c r="J145" i="14"/>
  <c r="J146" i="14"/>
  <c r="J147" i="14"/>
  <c r="J148" i="14"/>
  <c r="J149" i="14"/>
  <c r="J150" i="14"/>
  <c r="J151" i="14"/>
  <c r="J152" i="14"/>
  <c r="J153" i="14"/>
  <c r="J154" i="14"/>
  <c r="J155" i="14"/>
  <c r="J156" i="14"/>
  <c r="J157" i="14"/>
  <c r="J158" i="14"/>
  <c r="J159" i="14"/>
  <c r="J160" i="14"/>
  <c r="J161" i="14"/>
  <c r="J162" i="14"/>
  <c r="J163" i="14"/>
  <c r="J164" i="14"/>
  <c r="J165" i="14"/>
  <c r="J166" i="14"/>
  <c r="J167" i="14"/>
  <c r="J168" i="14"/>
  <c r="J169" i="14"/>
  <c r="J170" i="14"/>
  <c r="J171" i="14"/>
  <c r="J172" i="14"/>
  <c r="J173" i="14"/>
  <c r="J174" i="14"/>
  <c r="J175" i="14"/>
  <c r="J176" i="14"/>
  <c r="J177" i="14"/>
  <c r="J178" i="14"/>
  <c r="J179" i="14"/>
  <c r="J180" i="14"/>
  <c r="J181" i="14"/>
  <c r="J182" i="14"/>
  <c r="J183" i="14"/>
  <c r="J184" i="14"/>
  <c r="J185" i="14"/>
  <c r="J186" i="14"/>
  <c r="J187" i="14"/>
  <c r="J188" i="14"/>
  <c r="J189" i="14"/>
  <c r="J190" i="14"/>
  <c r="J191" i="14"/>
  <c r="J192" i="14"/>
  <c r="J193" i="14"/>
  <c r="J194" i="14"/>
  <c r="J195" i="14"/>
  <c r="J196" i="14"/>
  <c r="J197" i="14"/>
  <c r="J198" i="14"/>
  <c r="J199" i="14"/>
  <c r="J200" i="14"/>
  <c r="J201" i="14"/>
  <c r="J202" i="14"/>
  <c r="J203" i="14"/>
  <c r="J204" i="14"/>
  <c r="J205" i="14"/>
  <c r="J206" i="14"/>
  <c r="J207" i="14"/>
  <c r="J208" i="14"/>
  <c r="J209" i="14"/>
  <c r="J210" i="14"/>
  <c r="J211" i="14"/>
  <c r="J212" i="14"/>
  <c r="J213" i="14"/>
  <c r="J214" i="14"/>
  <c r="J215" i="14"/>
  <c r="J216" i="14"/>
  <c r="J217" i="14"/>
  <c r="J218" i="14"/>
  <c r="J219" i="14"/>
  <c r="J220" i="14"/>
  <c r="J221" i="14"/>
  <c r="J222" i="14"/>
  <c r="J223" i="14"/>
  <c r="J224" i="14"/>
  <c r="J225" i="14"/>
  <c r="J226" i="14"/>
  <c r="J227" i="14"/>
  <c r="J228" i="14"/>
  <c r="J229" i="14"/>
  <c r="J230" i="14"/>
  <c r="J231" i="14"/>
  <c r="J232" i="14"/>
  <c r="J233" i="14"/>
  <c r="J234" i="14"/>
  <c r="J235" i="14"/>
  <c r="J236" i="14"/>
  <c r="J237" i="14"/>
  <c r="J238" i="14"/>
  <c r="J239" i="14"/>
  <c r="J240" i="14"/>
  <c r="J241" i="14"/>
  <c r="J242" i="14"/>
  <c r="J243" i="14"/>
  <c r="J244" i="14"/>
  <c r="J245" i="14"/>
  <c r="J246" i="14"/>
  <c r="J247" i="14"/>
  <c r="J248" i="14"/>
  <c r="J249" i="14"/>
  <c r="J250" i="14"/>
  <c r="J251" i="14"/>
  <c r="J252" i="14"/>
  <c r="J253" i="14"/>
  <c r="J5" i="14"/>
  <c r="I259" i="14" l="1"/>
  <c r="H259" i="14"/>
  <c r="H26" i="17"/>
  <c r="I27" i="17"/>
  <c r="M26" i="17"/>
  <c r="M27" i="17" s="1"/>
  <c r="K31" i="17"/>
  <c r="J31" i="17" s="1"/>
  <c r="K27" i="17"/>
  <c r="E4" i="17"/>
  <c r="F4" i="17" s="1"/>
  <c r="Q2" i="17"/>
  <c r="Q3" i="17" s="1"/>
  <c r="P3" i="17"/>
  <c r="F55" i="20"/>
  <c r="E56" i="20"/>
  <c r="O23" i="17"/>
  <c r="O24" i="17"/>
  <c r="O29" i="17" s="1"/>
  <c r="D3" i="14"/>
  <c r="G2" i="14"/>
  <c r="C23" i="14"/>
  <c r="D24" i="14" s="1"/>
  <c r="C24" i="14"/>
  <c r="C25" i="14"/>
  <c r="D26" i="14" s="1"/>
  <c r="C26" i="14"/>
  <c r="D27" i="14" s="1"/>
  <c r="C27" i="14"/>
  <c r="C28" i="14"/>
  <c r="D29" i="14" s="1"/>
  <c r="C29" i="14"/>
  <c r="C30" i="14"/>
  <c r="D31" i="14" s="1"/>
  <c r="C31" i="14"/>
  <c r="D32" i="14" s="1"/>
  <c r="C32" i="14"/>
  <c r="C33" i="14"/>
  <c r="D34" i="14" s="1"/>
  <c r="C34" i="14"/>
  <c r="D35" i="14" s="1"/>
  <c r="C35" i="14"/>
  <c r="D36" i="14" s="1"/>
  <c r="C36" i="14"/>
  <c r="D37" i="14" s="1"/>
  <c r="C37" i="14"/>
  <c r="D38" i="14" s="1"/>
  <c r="C38" i="14"/>
  <c r="D39" i="14" s="1"/>
  <c r="C39" i="14"/>
  <c r="D40" i="14" s="1"/>
  <c r="C40" i="14"/>
  <c r="C41" i="14"/>
  <c r="D42" i="14" s="1"/>
  <c r="C42" i="14"/>
  <c r="D43" i="14" s="1"/>
  <c r="C43" i="14"/>
  <c r="D44" i="14" s="1"/>
  <c r="C44" i="14"/>
  <c r="D45" i="14" s="1"/>
  <c r="C45" i="14"/>
  <c r="D46" i="14" s="1"/>
  <c r="C46" i="14"/>
  <c r="D47" i="14" s="1"/>
  <c r="C47" i="14"/>
  <c r="D48" i="14" s="1"/>
  <c r="C48" i="14"/>
  <c r="C49" i="14"/>
  <c r="D50" i="14" s="1"/>
  <c r="C50" i="14"/>
  <c r="D51" i="14" s="1"/>
  <c r="C51" i="14"/>
  <c r="D52" i="14" s="1"/>
  <c r="C52" i="14"/>
  <c r="D53" i="14" s="1"/>
  <c r="C53" i="14"/>
  <c r="D54" i="14" s="1"/>
  <c r="C54" i="14"/>
  <c r="D55" i="14" s="1"/>
  <c r="C55" i="14"/>
  <c r="D56" i="14" s="1"/>
  <c r="C56" i="14"/>
  <c r="C57" i="14"/>
  <c r="C58" i="14"/>
  <c r="D59" i="14" s="1"/>
  <c r="C59" i="14"/>
  <c r="D60" i="14" s="1"/>
  <c r="C60" i="14"/>
  <c r="D61" i="14" s="1"/>
  <c r="C61" i="14"/>
  <c r="D62" i="14" s="1"/>
  <c r="C62" i="14"/>
  <c r="D63" i="14" s="1"/>
  <c r="C63" i="14"/>
  <c r="D64" i="14" s="1"/>
  <c r="C64" i="14"/>
  <c r="C65" i="14"/>
  <c r="D66" i="14" s="1"/>
  <c r="C66" i="14"/>
  <c r="D67" i="14" s="1"/>
  <c r="C67" i="14"/>
  <c r="D68" i="14" s="1"/>
  <c r="C68" i="14"/>
  <c r="D69" i="14" s="1"/>
  <c r="C69" i="14"/>
  <c r="C70" i="14"/>
  <c r="D71" i="14" s="1"/>
  <c r="C71" i="14"/>
  <c r="D72" i="14" s="1"/>
  <c r="C72" i="14"/>
  <c r="C73" i="14"/>
  <c r="C74" i="14"/>
  <c r="D75" i="14" s="1"/>
  <c r="C75" i="14"/>
  <c r="D76" i="14" s="1"/>
  <c r="C76" i="14"/>
  <c r="D77" i="14" s="1"/>
  <c r="C77" i="14"/>
  <c r="D78" i="14" s="1"/>
  <c r="C78" i="14"/>
  <c r="D79" i="14" s="1"/>
  <c r="C79" i="14"/>
  <c r="D80" i="14" s="1"/>
  <c r="C80" i="14"/>
  <c r="C81" i="14"/>
  <c r="D82" i="14" s="1"/>
  <c r="C82" i="14"/>
  <c r="D83" i="14" s="1"/>
  <c r="C83" i="14"/>
  <c r="D84" i="14" s="1"/>
  <c r="C84" i="14"/>
  <c r="D85" i="14" s="1"/>
  <c r="C85" i="14"/>
  <c r="D86" i="14" s="1"/>
  <c r="C86" i="14"/>
  <c r="D87" i="14" s="1"/>
  <c r="C87" i="14"/>
  <c r="D88" i="14" s="1"/>
  <c r="C88" i="14"/>
  <c r="C89" i="14"/>
  <c r="D90" i="14" s="1"/>
  <c r="C90" i="14"/>
  <c r="D91" i="14" s="1"/>
  <c r="C91" i="14"/>
  <c r="D92" i="14" s="1"/>
  <c r="C92" i="14"/>
  <c r="D93" i="14" s="1"/>
  <c r="C94" i="14"/>
  <c r="D95" i="14" s="1"/>
  <c r="C95" i="14"/>
  <c r="D96" i="14" s="1"/>
  <c r="C96" i="14"/>
  <c r="D97" i="14" s="1"/>
  <c r="C97" i="14"/>
  <c r="C99" i="14"/>
  <c r="D100" i="14" s="1"/>
  <c r="C100" i="14"/>
  <c r="D101" i="14" s="1"/>
  <c r="C101" i="14"/>
  <c r="D102" i="14" s="1"/>
  <c r="C102" i="14"/>
  <c r="D103" i="14" s="1"/>
  <c r="C103" i="14"/>
  <c r="C104" i="14"/>
  <c r="D105" i="14" s="1"/>
  <c r="C105" i="14"/>
  <c r="D106" i="14" s="1"/>
  <c r="C106" i="14"/>
  <c r="C107" i="14"/>
  <c r="D108" i="14" s="1"/>
  <c r="C108" i="14"/>
  <c r="D109" i="14" s="1"/>
  <c r="C109" i="14"/>
  <c r="D110" i="14" s="1"/>
  <c r="C110" i="14"/>
  <c r="D111" i="14" s="1"/>
  <c r="C111" i="14"/>
  <c r="D112" i="14" s="1"/>
  <c r="C112" i="14"/>
  <c r="D113" i="14" s="1"/>
  <c r="C113" i="14"/>
  <c r="D114" i="14" s="1"/>
  <c r="C114" i="14"/>
  <c r="C115" i="14"/>
  <c r="D116" i="14" s="1"/>
  <c r="C116" i="14"/>
  <c r="D117" i="14" s="1"/>
  <c r="C117" i="14"/>
  <c r="D118" i="14" s="1"/>
  <c r="C118" i="14"/>
  <c r="D119" i="14" s="1"/>
  <c r="C119" i="14"/>
  <c r="D120" i="14" s="1"/>
  <c r="C120" i="14"/>
  <c r="D121" i="14" s="1"/>
  <c r="C121" i="14"/>
  <c r="D122" i="14" s="1"/>
  <c r="C122" i="14"/>
  <c r="C123" i="14"/>
  <c r="C124" i="14"/>
  <c r="D125" i="14" s="1"/>
  <c r="C125" i="14"/>
  <c r="D126" i="14" s="1"/>
  <c r="C126" i="14"/>
  <c r="D127" i="14" s="1"/>
  <c r="C127" i="14"/>
  <c r="D128" i="14" s="1"/>
  <c r="C128" i="14"/>
  <c r="D129" i="14" s="1"/>
  <c r="C129" i="14"/>
  <c r="D130" i="14" s="1"/>
  <c r="C130" i="14"/>
  <c r="C131" i="14"/>
  <c r="D132" i="14" s="1"/>
  <c r="C132" i="14"/>
  <c r="D133" i="14" s="1"/>
  <c r="C133" i="14"/>
  <c r="D134" i="14" s="1"/>
  <c r="C134" i="14"/>
  <c r="D135" i="14" s="1"/>
  <c r="C135" i="14"/>
  <c r="D136" i="14" s="1"/>
  <c r="C136" i="14"/>
  <c r="D137" i="14" s="1"/>
  <c r="C137" i="14"/>
  <c r="D138" i="14" s="1"/>
  <c r="C138" i="14"/>
  <c r="C139" i="14"/>
  <c r="D140" i="14" s="1"/>
  <c r="C140" i="14"/>
  <c r="D141" i="14" s="1"/>
  <c r="C141" i="14"/>
  <c r="D142" i="14" s="1"/>
  <c r="C142" i="14"/>
  <c r="D143" i="14" s="1"/>
  <c r="C143" i="14"/>
  <c r="D144" i="14" s="1"/>
  <c r="C144" i="14"/>
  <c r="D145" i="14" s="1"/>
  <c r="C145" i="14"/>
  <c r="D146" i="14" s="1"/>
  <c r="C146" i="14"/>
  <c r="C147" i="14"/>
  <c r="D148" i="14" s="1"/>
  <c r="C148" i="14"/>
  <c r="D149" i="14" s="1"/>
  <c r="C149" i="14"/>
  <c r="D150" i="14" s="1"/>
  <c r="C150" i="14"/>
  <c r="D151" i="14" s="1"/>
  <c r="C151" i="14"/>
  <c r="D152" i="14" s="1"/>
  <c r="C152" i="14"/>
  <c r="D153" i="14" s="1"/>
  <c r="C153" i="14"/>
  <c r="D154" i="14" s="1"/>
  <c r="C154" i="14"/>
  <c r="C155" i="14"/>
  <c r="D156" i="14" s="1"/>
  <c r="C156" i="14"/>
  <c r="D157" i="14" s="1"/>
  <c r="C157" i="14"/>
  <c r="D158" i="14" s="1"/>
  <c r="C158" i="14"/>
  <c r="D159" i="14" s="1"/>
  <c r="C159" i="14"/>
  <c r="D160" i="14" s="1"/>
  <c r="C160" i="14"/>
  <c r="D161" i="14" s="1"/>
  <c r="C161" i="14"/>
  <c r="D162" i="14" s="1"/>
  <c r="C162" i="14"/>
  <c r="D163" i="14" s="1"/>
  <c r="C163" i="14"/>
  <c r="C164" i="14"/>
  <c r="D165" i="14" s="1"/>
  <c r="C165" i="14"/>
  <c r="D166" i="14" s="1"/>
  <c r="C166" i="14"/>
  <c r="D167" i="14" s="1"/>
  <c r="C167" i="14"/>
  <c r="D168" i="14" s="1"/>
  <c r="C168" i="14"/>
  <c r="D169" i="14" s="1"/>
  <c r="C169" i="14"/>
  <c r="D170" i="14" s="1"/>
  <c r="C170" i="14"/>
  <c r="D171" i="14" s="1"/>
  <c r="C171" i="14"/>
  <c r="D172" i="14" s="1"/>
  <c r="C172" i="14"/>
  <c r="D173" i="14" s="1"/>
  <c r="C173" i="14"/>
  <c r="D174" i="14" s="1"/>
  <c r="C174" i="14"/>
  <c r="D175" i="14" s="1"/>
  <c r="C175" i="14"/>
  <c r="D176" i="14" s="1"/>
  <c r="C176" i="14"/>
  <c r="D177" i="14" s="1"/>
  <c r="C177" i="14"/>
  <c r="D178" i="14" s="1"/>
  <c r="C178" i="14"/>
  <c r="D179" i="14" s="1"/>
  <c r="C179" i="14"/>
  <c r="D180" i="14" s="1"/>
  <c r="C180" i="14"/>
  <c r="D181" i="14" s="1"/>
  <c r="C181" i="14"/>
  <c r="D182" i="14" s="1"/>
  <c r="C182" i="14"/>
  <c r="D183" i="14" s="1"/>
  <c r="C183" i="14"/>
  <c r="D184" i="14" s="1"/>
  <c r="C184" i="14"/>
  <c r="D185" i="14" s="1"/>
  <c r="C185" i="14"/>
  <c r="D186" i="14" s="1"/>
  <c r="C186" i="14"/>
  <c r="D187" i="14" s="1"/>
  <c r="C187" i="14"/>
  <c r="D188" i="14" s="1"/>
  <c r="C188" i="14"/>
  <c r="D189" i="14" s="1"/>
  <c r="C189" i="14"/>
  <c r="D190" i="14" s="1"/>
  <c r="C190" i="14"/>
  <c r="D191" i="14" s="1"/>
  <c r="C191" i="14"/>
  <c r="D192" i="14" s="1"/>
  <c r="C192" i="14"/>
  <c r="D193" i="14" s="1"/>
  <c r="C193" i="14"/>
  <c r="D194" i="14" s="1"/>
  <c r="C194" i="14"/>
  <c r="D195" i="14" s="1"/>
  <c r="C195" i="14"/>
  <c r="D196" i="14" s="1"/>
  <c r="C196" i="14"/>
  <c r="D197" i="14" s="1"/>
  <c r="C197" i="14"/>
  <c r="D198" i="14" s="1"/>
  <c r="C198" i="14"/>
  <c r="D199" i="14" s="1"/>
  <c r="C199" i="14"/>
  <c r="D200" i="14" s="1"/>
  <c r="C200" i="14"/>
  <c r="D201" i="14" s="1"/>
  <c r="C201" i="14"/>
  <c r="D202" i="14" s="1"/>
  <c r="C202" i="14"/>
  <c r="D203" i="14" s="1"/>
  <c r="C203" i="14"/>
  <c r="D204" i="14" s="1"/>
  <c r="C204" i="14"/>
  <c r="D205" i="14" s="1"/>
  <c r="C205" i="14"/>
  <c r="D206" i="14" s="1"/>
  <c r="C206" i="14"/>
  <c r="D207" i="14" s="1"/>
  <c r="C207" i="14"/>
  <c r="D208" i="14" s="1"/>
  <c r="C208" i="14"/>
  <c r="D209" i="14" s="1"/>
  <c r="C209" i="14"/>
  <c r="D210" i="14" s="1"/>
  <c r="C210" i="14"/>
  <c r="D211" i="14" s="1"/>
  <c r="C211" i="14"/>
  <c r="D212" i="14" s="1"/>
  <c r="C212" i="14"/>
  <c r="D213" i="14" s="1"/>
  <c r="C213" i="14"/>
  <c r="D214" i="14" s="1"/>
  <c r="C214" i="14"/>
  <c r="D215" i="14" s="1"/>
  <c r="C215" i="14"/>
  <c r="D216" i="14" s="1"/>
  <c r="C216" i="14"/>
  <c r="D217" i="14" s="1"/>
  <c r="C217" i="14"/>
  <c r="D218" i="14" s="1"/>
  <c r="C218" i="14"/>
  <c r="D219" i="14" s="1"/>
  <c r="C219" i="14"/>
  <c r="D220" i="14" s="1"/>
  <c r="C220" i="14"/>
  <c r="D221" i="14" s="1"/>
  <c r="C221" i="14"/>
  <c r="D222" i="14" s="1"/>
  <c r="C222" i="14"/>
  <c r="D223" i="14" s="1"/>
  <c r="C223" i="14"/>
  <c r="D224" i="14" s="1"/>
  <c r="C224" i="14"/>
  <c r="D225" i="14" s="1"/>
  <c r="C225" i="14"/>
  <c r="D226" i="14" s="1"/>
  <c r="C226" i="14"/>
  <c r="D227" i="14" s="1"/>
  <c r="C227" i="14"/>
  <c r="D228" i="14" s="1"/>
  <c r="C228" i="14"/>
  <c r="D229" i="14" s="1"/>
  <c r="C229" i="14"/>
  <c r="D230" i="14" s="1"/>
  <c r="C230" i="14"/>
  <c r="D231" i="14" s="1"/>
  <c r="C231" i="14"/>
  <c r="D232" i="14" s="1"/>
  <c r="C232" i="14"/>
  <c r="D233" i="14" s="1"/>
  <c r="C233" i="14"/>
  <c r="D234" i="14" s="1"/>
  <c r="C234" i="14"/>
  <c r="D235" i="14" s="1"/>
  <c r="C235" i="14"/>
  <c r="D236" i="14" s="1"/>
  <c r="C236" i="14"/>
  <c r="D237" i="14" s="1"/>
  <c r="C237" i="14"/>
  <c r="D238" i="14" s="1"/>
  <c r="C238" i="14"/>
  <c r="D239" i="14" s="1"/>
  <c r="C239" i="14"/>
  <c r="D240" i="14" s="1"/>
  <c r="C240" i="14"/>
  <c r="D241" i="14" s="1"/>
  <c r="C241" i="14"/>
  <c r="D242" i="14" s="1"/>
  <c r="C242" i="14"/>
  <c r="D243" i="14" s="1"/>
  <c r="C243" i="14"/>
  <c r="D244" i="14" s="1"/>
  <c r="C244" i="14"/>
  <c r="D245" i="14" s="1"/>
  <c r="C245" i="14"/>
  <c r="D246" i="14" s="1"/>
  <c r="C246" i="14"/>
  <c r="D247" i="14" s="1"/>
  <c r="C247" i="14"/>
  <c r="C248" i="14"/>
  <c r="D249" i="14" s="1"/>
  <c r="C249" i="14"/>
  <c r="D250" i="14" s="1"/>
  <c r="C250" i="14"/>
  <c r="D251" i="14" s="1"/>
  <c r="C251" i="14"/>
  <c r="D252" i="14" s="1"/>
  <c r="C252" i="14"/>
  <c r="D253" i="14" s="1"/>
  <c r="C253" i="14"/>
  <c r="D254" i="14" s="1"/>
  <c r="D25" i="14"/>
  <c r="D28" i="14"/>
  <c r="D30" i="14"/>
  <c r="D33" i="14"/>
  <c r="D41" i="14"/>
  <c r="D49" i="14"/>
  <c r="D57" i="14"/>
  <c r="D58" i="14"/>
  <c r="D65" i="14"/>
  <c r="D70" i="14"/>
  <c r="D73" i="14"/>
  <c r="D74" i="14"/>
  <c r="D81" i="14"/>
  <c r="D89" i="14"/>
  <c r="D104" i="14"/>
  <c r="D107" i="14"/>
  <c r="D115" i="14"/>
  <c r="D123" i="14"/>
  <c r="D124" i="14"/>
  <c r="D131" i="14"/>
  <c r="D139" i="14"/>
  <c r="D147" i="14"/>
  <c r="D155" i="14"/>
  <c r="D164" i="14"/>
  <c r="D248" i="14"/>
  <c r="D99" i="14" l="1"/>
  <c r="D98" i="14"/>
  <c r="K32" i="17"/>
  <c r="P4" i="17"/>
  <c r="P5" i="17" s="1"/>
  <c r="P6" i="17" s="1"/>
  <c r="P7" i="17" s="1"/>
  <c r="P8" i="17" s="1"/>
  <c r="P9" i="17" s="1"/>
  <c r="P10" i="17" s="1"/>
  <c r="P11" i="17" s="1"/>
  <c r="P12" i="17" s="1"/>
  <c r="P13" i="17" s="1"/>
  <c r="P14" i="17" s="1"/>
  <c r="P15" i="17" s="1"/>
  <c r="P16" i="17" s="1"/>
  <c r="P17" i="17" s="1"/>
  <c r="P18" i="17" s="1"/>
  <c r="P19" i="17" s="1"/>
  <c r="P20" i="17" s="1"/>
  <c r="P21" i="17" s="1"/>
  <c r="P22" i="17" s="1"/>
  <c r="P24" i="17" s="1"/>
  <c r="L26" i="17"/>
  <c r="F23" i="17"/>
  <c r="Q4" i="17"/>
  <c r="Q5" i="17" s="1"/>
  <c r="Q6" i="17" s="1"/>
  <c r="Q7" i="17" s="1"/>
  <c r="Q8" i="17" s="1"/>
  <c r="Q9" i="17" s="1"/>
  <c r="Q10" i="17" s="1"/>
  <c r="Q11" i="17" s="1"/>
  <c r="Q12" i="17" s="1"/>
  <c r="Q13" i="17" s="1"/>
  <c r="Q14" i="17" s="1"/>
  <c r="Q15" i="17" s="1"/>
  <c r="Q16" i="17" s="1"/>
  <c r="Q17" i="17" s="1"/>
  <c r="Q18" i="17" s="1"/>
  <c r="Q19" i="17" s="1"/>
  <c r="Q20" i="17" s="1"/>
  <c r="Q21" i="17" s="1"/>
  <c r="Q22" i="17" s="1"/>
  <c r="Q24" i="17" s="1"/>
  <c r="F56" i="20"/>
  <c r="E57" i="20"/>
  <c r="Q23" i="17" l="1"/>
  <c r="P23" i="17"/>
  <c r="Q26" i="17"/>
  <c r="Q31" i="17" s="1"/>
  <c r="Q29" i="17"/>
  <c r="O26" i="17"/>
  <c r="O31" i="17" s="1"/>
  <c r="P29" i="17"/>
  <c r="E58" i="20"/>
  <c r="F57" i="20"/>
  <c r="K2" i="14"/>
  <c r="O2" i="14" s="1"/>
  <c r="O3" i="14" s="1"/>
  <c r="O4" i="14" s="1"/>
  <c r="O5" i="14" s="1"/>
  <c r="O6" i="14" s="1"/>
  <c r="O7" i="14" s="1"/>
  <c r="O8" i="14" s="1"/>
  <c r="O9" i="14" s="1"/>
  <c r="O10" i="14" s="1"/>
  <c r="O11" i="14" s="1"/>
  <c r="O12" i="14" s="1"/>
  <c r="O13" i="14" s="1"/>
  <c r="O14" i="14" s="1"/>
  <c r="O15" i="14" s="1"/>
  <c r="O16" i="14" s="1"/>
  <c r="O17" i="14" s="1"/>
  <c r="O18" i="14" s="1"/>
  <c r="O19" i="14" s="1"/>
  <c r="O20" i="14" s="1"/>
  <c r="O21" i="14" s="1"/>
  <c r="O22" i="14" s="1"/>
  <c r="O23" i="14" s="1"/>
  <c r="O24" i="14" s="1"/>
  <c r="O25" i="14" s="1"/>
  <c r="O26" i="14" s="1"/>
  <c r="O27" i="14" s="1"/>
  <c r="O28" i="14" s="1"/>
  <c r="O29" i="14" s="1"/>
  <c r="O30" i="14" s="1"/>
  <c r="O31" i="14" s="1"/>
  <c r="O32" i="14" s="1"/>
  <c r="O33" i="14" s="1"/>
  <c r="O34" i="14" s="1"/>
  <c r="O35" i="14" s="1"/>
  <c r="O36" i="14" s="1"/>
  <c r="O37" i="14" s="1"/>
  <c r="O38" i="14" s="1"/>
  <c r="O39" i="14" s="1"/>
  <c r="O40" i="14" s="1"/>
  <c r="O41" i="14" s="1"/>
  <c r="O42" i="14" s="1"/>
  <c r="O43" i="14" s="1"/>
  <c r="O44" i="14" s="1"/>
  <c r="O45" i="14" s="1"/>
  <c r="O46" i="14" s="1"/>
  <c r="O47" i="14" s="1"/>
  <c r="O48" i="14" s="1"/>
  <c r="O49" i="14" s="1"/>
  <c r="O50" i="14" s="1"/>
  <c r="O51" i="14" s="1"/>
  <c r="O52" i="14" s="1"/>
  <c r="O53" i="14" s="1"/>
  <c r="O54" i="14" s="1"/>
  <c r="O55" i="14" s="1"/>
  <c r="O56" i="14" s="1"/>
  <c r="O57" i="14" s="1"/>
  <c r="O58" i="14" s="1"/>
  <c r="O59" i="14" s="1"/>
  <c r="O60" i="14" s="1"/>
  <c r="O61" i="14" s="1"/>
  <c r="O62" i="14" s="1"/>
  <c r="O63" i="14" s="1"/>
  <c r="O64" i="14" s="1"/>
  <c r="O65" i="14" s="1"/>
  <c r="O66" i="14" s="1"/>
  <c r="O67" i="14" s="1"/>
  <c r="O68" i="14" s="1"/>
  <c r="O69" i="14" s="1"/>
  <c r="O70" i="14" s="1"/>
  <c r="O71" i="14" s="1"/>
  <c r="O72" i="14" s="1"/>
  <c r="O73" i="14" s="1"/>
  <c r="O74" i="14" s="1"/>
  <c r="O75" i="14" s="1"/>
  <c r="O76" i="14" s="1"/>
  <c r="O77" i="14" s="1"/>
  <c r="O78" i="14" s="1"/>
  <c r="O79" i="14" s="1"/>
  <c r="O80" i="14" s="1"/>
  <c r="O81" i="14" s="1"/>
  <c r="O82" i="14" s="1"/>
  <c r="O83" i="14" s="1"/>
  <c r="O84" i="14" s="1"/>
  <c r="O85" i="14" s="1"/>
  <c r="O86" i="14" s="1"/>
  <c r="O87" i="14" s="1"/>
  <c r="O88" i="14" s="1"/>
  <c r="O89" i="14" s="1"/>
  <c r="O90" i="14" s="1"/>
  <c r="O91" i="14" s="1"/>
  <c r="O92" i="14" s="1"/>
  <c r="O93" i="14" s="1"/>
  <c r="O94" i="14" s="1"/>
  <c r="O95" i="14" s="1"/>
  <c r="O96" i="14" s="1"/>
  <c r="O97" i="14" s="1"/>
  <c r="O98" i="14" s="1"/>
  <c r="O99" i="14" s="1"/>
  <c r="O100" i="14" s="1"/>
  <c r="O101" i="14" s="1"/>
  <c r="O102" i="14" s="1"/>
  <c r="O103" i="14" s="1"/>
  <c r="O104" i="14" s="1"/>
  <c r="O105" i="14" s="1"/>
  <c r="O106" i="14" s="1"/>
  <c r="O107" i="14" s="1"/>
  <c r="O108" i="14" s="1"/>
  <c r="O109" i="14" s="1"/>
  <c r="O110" i="14" s="1"/>
  <c r="O111" i="14" s="1"/>
  <c r="O112" i="14" s="1"/>
  <c r="O113" i="14" s="1"/>
  <c r="O114" i="14" s="1"/>
  <c r="O115" i="14" s="1"/>
  <c r="O116" i="14" s="1"/>
  <c r="O117" i="14" s="1"/>
  <c r="O118" i="14" s="1"/>
  <c r="O119" i="14" s="1"/>
  <c r="O120" i="14" s="1"/>
  <c r="O121" i="14" s="1"/>
  <c r="O122" i="14" s="1"/>
  <c r="O123" i="14" s="1"/>
  <c r="O124" i="14" s="1"/>
  <c r="O125" i="14" s="1"/>
  <c r="O126" i="14" s="1"/>
  <c r="O127" i="14" s="1"/>
  <c r="O128" i="14" s="1"/>
  <c r="O129" i="14" s="1"/>
  <c r="O130" i="14" s="1"/>
  <c r="O131" i="14" s="1"/>
  <c r="O132" i="14" s="1"/>
  <c r="O133" i="14" s="1"/>
  <c r="O134" i="14" s="1"/>
  <c r="O135" i="14" s="1"/>
  <c r="O136" i="14" s="1"/>
  <c r="O137" i="14" s="1"/>
  <c r="O138" i="14" s="1"/>
  <c r="O139" i="14" s="1"/>
  <c r="O140" i="14" s="1"/>
  <c r="O141" i="14" s="1"/>
  <c r="O142" i="14" s="1"/>
  <c r="O143" i="14" s="1"/>
  <c r="O144" i="14" s="1"/>
  <c r="O145" i="14" s="1"/>
  <c r="O146" i="14" s="1"/>
  <c r="O147" i="14" s="1"/>
  <c r="O148" i="14" s="1"/>
  <c r="O149" i="14" s="1"/>
  <c r="O150" i="14" s="1"/>
  <c r="O151" i="14" s="1"/>
  <c r="O152" i="14" s="1"/>
  <c r="O153" i="14" s="1"/>
  <c r="O154" i="14" s="1"/>
  <c r="O155" i="14" s="1"/>
  <c r="O156" i="14" s="1"/>
  <c r="O157" i="14" s="1"/>
  <c r="O158" i="14" s="1"/>
  <c r="O159" i="14" s="1"/>
  <c r="O160" i="14" s="1"/>
  <c r="O161" i="14" s="1"/>
  <c r="O162" i="14" s="1"/>
  <c r="O163" i="14" s="1"/>
  <c r="O164" i="14" s="1"/>
  <c r="O165" i="14" s="1"/>
  <c r="O166" i="14" s="1"/>
  <c r="O167" i="14" s="1"/>
  <c r="O168" i="14" s="1"/>
  <c r="O169" i="14" s="1"/>
  <c r="O170" i="14" s="1"/>
  <c r="O171" i="14" s="1"/>
  <c r="O172" i="14" s="1"/>
  <c r="O173" i="14" s="1"/>
  <c r="O174" i="14" s="1"/>
  <c r="O175" i="14" s="1"/>
  <c r="O176" i="14" s="1"/>
  <c r="O177" i="14" s="1"/>
  <c r="O178" i="14" s="1"/>
  <c r="O179" i="14" s="1"/>
  <c r="O180" i="14" s="1"/>
  <c r="O181" i="14" s="1"/>
  <c r="O182" i="14" s="1"/>
  <c r="O183" i="14" s="1"/>
  <c r="O184" i="14" s="1"/>
  <c r="O185" i="14" s="1"/>
  <c r="O186" i="14" s="1"/>
  <c r="O187" i="14" s="1"/>
  <c r="O188" i="14" s="1"/>
  <c r="O189" i="14" s="1"/>
  <c r="O190" i="14" s="1"/>
  <c r="O191" i="14" s="1"/>
  <c r="O192" i="14" s="1"/>
  <c r="O193" i="14" s="1"/>
  <c r="O194" i="14" s="1"/>
  <c r="O195" i="14" s="1"/>
  <c r="O196" i="14" s="1"/>
  <c r="O197" i="14" s="1"/>
  <c r="O198" i="14" s="1"/>
  <c r="O199" i="14" s="1"/>
  <c r="O200" i="14" s="1"/>
  <c r="O201" i="14" s="1"/>
  <c r="O202" i="14" s="1"/>
  <c r="O203" i="14" s="1"/>
  <c r="O204" i="14" s="1"/>
  <c r="O205" i="14" s="1"/>
  <c r="O206" i="14" s="1"/>
  <c r="O207" i="14" s="1"/>
  <c r="O208" i="14" s="1"/>
  <c r="O209" i="14" s="1"/>
  <c r="O210" i="14" s="1"/>
  <c r="O211" i="14" s="1"/>
  <c r="O212" i="14" s="1"/>
  <c r="O213" i="14" s="1"/>
  <c r="O214" i="14" s="1"/>
  <c r="O215" i="14" s="1"/>
  <c r="O216" i="14" s="1"/>
  <c r="O217" i="14" s="1"/>
  <c r="O218" i="14" s="1"/>
  <c r="O219" i="14" s="1"/>
  <c r="O220" i="14" s="1"/>
  <c r="O221" i="14" s="1"/>
  <c r="O222" i="14" s="1"/>
  <c r="O223" i="14" s="1"/>
  <c r="O224" i="14" s="1"/>
  <c r="O225" i="14" s="1"/>
  <c r="O226" i="14" s="1"/>
  <c r="O227" i="14" s="1"/>
  <c r="O228" i="14" s="1"/>
  <c r="O229" i="14" s="1"/>
  <c r="O230" i="14" s="1"/>
  <c r="O231" i="14" s="1"/>
  <c r="O232" i="14" s="1"/>
  <c r="O233" i="14" s="1"/>
  <c r="O234" i="14" s="1"/>
  <c r="O235" i="14" s="1"/>
  <c r="O236" i="14" s="1"/>
  <c r="O237" i="14" s="1"/>
  <c r="O238" i="14" s="1"/>
  <c r="O239" i="14" s="1"/>
  <c r="O240" i="14" s="1"/>
  <c r="O241" i="14" s="1"/>
  <c r="O242" i="14" s="1"/>
  <c r="O243" i="14" s="1"/>
  <c r="O244" i="14" s="1"/>
  <c r="O245" i="14" s="1"/>
  <c r="O246" i="14" s="1"/>
  <c r="O247" i="14" s="1"/>
  <c r="O248" i="14" s="1"/>
  <c r="O249" i="14" s="1"/>
  <c r="O250" i="14" s="1"/>
  <c r="O251" i="14" s="1"/>
  <c r="O252" i="14" s="1"/>
  <c r="O253" i="14" s="1"/>
  <c r="O254" i="14" s="1"/>
  <c r="C22" i="14"/>
  <c r="D23" i="14" s="1"/>
  <c r="C21" i="14"/>
  <c r="D22" i="14" s="1"/>
  <c r="C20" i="14"/>
  <c r="D21" i="14" s="1"/>
  <c r="C19" i="14"/>
  <c r="D20" i="14" s="1"/>
  <c r="C18" i="14"/>
  <c r="D19" i="14" s="1"/>
  <c r="C17" i="14"/>
  <c r="D18" i="14" s="1"/>
  <c r="C16" i="14"/>
  <c r="D17" i="14" s="1"/>
  <c r="C15" i="14"/>
  <c r="D16" i="14" s="1"/>
  <c r="C14" i="14"/>
  <c r="D15" i="14" s="1"/>
  <c r="C13" i="14"/>
  <c r="D14" i="14" s="1"/>
  <c r="C12" i="14"/>
  <c r="D13" i="14" s="1"/>
  <c r="C11" i="14"/>
  <c r="D12" i="14" s="1"/>
  <c r="C10" i="14"/>
  <c r="D11" i="14" s="1"/>
  <c r="C9" i="14"/>
  <c r="D10" i="14" s="1"/>
  <c r="C8" i="14"/>
  <c r="D9" i="14" s="1"/>
  <c r="C7" i="14"/>
  <c r="D8" i="14" s="1"/>
  <c r="C6" i="14"/>
  <c r="D7" i="14" s="1"/>
  <c r="C5" i="14"/>
  <c r="D6" i="14" s="1"/>
  <c r="C4" i="14"/>
  <c r="D5" i="14" s="1"/>
  <c r="C3" i="14"/>
  <c r="D4" i="14" s="1"/>
  <c r="P2" i="14" l="1"/>
  <c r="F58" i="20"/>
  <c r="E59" i="20"/>
  <c r="K3" i="14"/>
  <c r="Q2" i="14" l="1"/>
  <c r="E60" i="20"/>
  <c r="F59" i="20"/>
  <c r="M3" i="14"/>
  <c r="K4" i="14"/>
  <c r="M4" i="14" s="1"/>
  <c r="N3" i="14" l="1"/>
  <c r="N4" i="14"/>
  <c r="E4" i="14" s="1"/>
  <c r="F4" i="14" s="1"/>
  <c r="E61" i="20"/>
  <c r="F60" i="20"/>
  <c r="K5" i="14"/>
  <c r="M5" i="14" s="1"/>
  <c r="E5" i="14" l="1"/>
  <c r="F5" i="14" s="1"/>
  <c r="N5" i="14"/>
  <c r="O255" i="14"/>
  <c r="O256" i="14"/>
  <c r="O261" i="14" s="1"/>
  <c r="E62" i="20"/>
  <c r="F61" i="20"/>
  <c r="E3" i="14"/>
  <c r="F3" i="14" s="1"/>
  <c r="K6" i="14"/>
  <c r="P3" i="14" l="1"/>
  <c r="P4" i="14" s="1"/>
  <c r="P5" i="14" s="1"/>
  <c r="Q3" i="14"/>
  <c r="Q4" i="14" s="1"/>
  <c r="Q5" i="14" s="1"/>
  <c r="E63" i="20"/>
  <c r="F62" i="20"/>
  <c r="M6" i="14"/>
  <c r="K7" i="14"/>
  <c r="M7" i="14" s="1"/>
  <c r="N7" i="14" l="1"/>
  <c r="E7" i="14" s="1"/>
  <c r="F7" i="14" s="1"/>
  <c r="N6" i="14"/>
  <c r="F63" i="20"/>
  <c r="E64" i="20"/>
  <c r="K8" i="14"/>
  <c r="M8" i="14" s="1"/>
  <c r="N8" i="14" l="1"/>
  <c r="F64" i="20"/>
  <c r="E65" i="20"/>
  <c r="E6" i="14"/>
  <c r="F6" i="14" s="1"/>
  <c r="K9" i="14"/>
  <c r="M9" i="14" s="1"/>
  <c r="N9" i="14" l="1"/>
  <c r="E9" i="14" s="1"/>
  <c r="F9" i="14" s="1"/>
  <c r="E8" i="14"/>
  <c r="F8" i="14" s="1"/>
  <c r="Q6" i="14"/>
  <c r="Q7" i="14" s="1"/>
  <c r="P6" i="14"/>
  <c r="P7" i="14" s="1"/>
  <c r="F65" i="20"/>
  <c r="E66" i="20"/>
  <c r="K10" i="14"/>
  <c r="M10" i="14" s="1"/>
  <c r="Q8" i="14" l="1"/>
  <c r="Q9" i="14" s="1"/>
  <c r="E10" i="14"/>
  <c r="F10" i="14" s="1"/>
  <c r="N10" i="14"/>
  <c r="P8" i="14"/>
  <c r="P9" i="14" s="1"/>
  <c r="F66" i="20"/>
  <c r="E67" i="20"/>
  <c r="K11" i="14"/>
  <c r="M11" i="14" s="1"/>
  <c r="P10" i="14" l="1"/>
  <c r="Q10" i="14"/>
  <c r="E11" i="14"/>
  <c r="F11" i="14" s="1"/>
  <c r="Q11" i="14" s="1"/>
  <c r="N11" i="14"/>
  <c r="F67" i="20"/>
  <c r="E68" i="20"/>
  <c r="K12" i="14"/>
  <c r="M12" i="14" s="1"/>
  <c r="E12" i="14" l="1"/>
  <c r="F12" i="14" s="1"/>
  <c r="Q12" i="14" s="1"/>
  <c r="N12" i="14"/>
  <c r="P11" i="14"/>
  <c r="F68" i="20"/>
  <c r="E69" i="20"/>
  <c r="K13" i="14"/>
  <c r="M13" i="14" s="1"/>
  <c r="E13" i="14" l="1"/>
  <c r="F13" i="14" s="1"/>
  <c r="Q13" i="14" s="1"/>
  <c r="N13" i="14"/>
  <c r="P12" i="14"/>
  <c r="E70" i="20"/>
  <c r="F69" i="20"/>
  <c r="K14" i="14"/>
  <c r="M14" i="14" s="1"/>
  <c r="N14" i="14" l="1"/>
  <c r="E14" i="14" s="1"/>
  <c r="F14" i="14" s="1"/>
  <c r="P13" i="14"/>
  <c r="F70" i="20"/>
  <c r="E71" i="20"/>
  <c r="K15" i="14"/>
  <c r="M15" i="14" s="1"/>
  <c r="Q14" i="14" l="1"/>
  <c r="P14" i="14"/>
  <c r="N15" i="14"/>
  <c r="E15" i="14" s="1"/>
  <c r="F15" i="14" s="1"/>
  <c r="E72" i="20"/>
  <c r="F71" i="20"/>
  <c r="K16" i="14"/>
  <c r="M16" i="14" s="1"/>
  <c r="Q15" i="14" l="1"/>
  <c r="P15" i="14"/>
  <c r="N16" i="14"/>
  <c r="E16" i="14" s="1"/>
  <c r="F16" i="14" s="1"/>
  <c r="F72" i="20"/>
  <c r="E73" i="20"/>
  <c r="K17" i="14"/>
  <c r="M17" i="14" s="1"/>
  <c r="Q16" i="14" l="1"/>
  <c r="P16" i="14"/>
  <c r="N17" i="14"/>
  <c r="E17" i="14" s="1"/>
  <c r="F17" i="14" s="1"/>
  <c r="F73" i="20"/>
  <c r="E74" i="20"/>
  <c r="K18" i="14"/>
  <c r="Q17" i="14" l="1"/>
  <c r="P17" i="14"/>
  <c r="F74" i="20"/>
  <c r="E75" i="20"/>
  <c r="M18" i="14"/>
  <c r="K19" i="14"/>
  <c r="M19" i="14" s="1"/>
  <c r="E19" i="14" l="1"/>
  <c r="F19" i="14" s="1"/>
  <c r="N19" i="14"/>
  <c r="N18" i="14"/>
  <c r="E18" i="14" s="1"/>
  <c r="F18" i="14" s="1"/>
  <c r="F75" i="20"/>
  <c r="E76" i="20"/>
  <c r="F76" i="20" s="1"/>
  <c r="K20" i="14"/>
  <c r="M20" i="14" s="1"/>
  <c r="Q18" i="14" l="1"/>
  <c r="Q19" i="14" s="1"/>
  <c r="P18" i="14"/>
  <c r="P19" i="14" s="1"/>
  <c r="N20" i="14"/>
  <c r="E20" i="14" s="1"/>
  <c r="F20" i="14" s="1"/>
  <c r="K21" i="14"/>
  <c r="M21" i="14" s="1"/>
  <c r="Q20" i="14" l="1"/>
  <c r="P20" i="14"/>
  <c r="N21" i="14"/>
  <c r="E21" i="14" s="1"/>
  <c r="F21" i="14" s="1"/>
  <c r="K22" i="14"/>
  <c r="M22" i="14" s="1"/>
  <c r="Q21" i="14" l="1"/>
  <c r="P21" i="14"/>
  <c r="N22" i="14"/>
  <c r="E22" i="14" s="1"/>
  <c r="F22" i="14" s="1"/>
  <c r="K23" i="14"/>
  <c r="M23" i="14" s="1"/>
  <c r="Q22" i="14" l="1"/>
  <c r="P22" i="14"/>
  <c r="N23" i="14"/>
  <c r="E23" i="14" s="1"/>
  <c r="F23" i="14" s="1"/>
  <c r="K24" i="14"/>
  <c r="M24" i="14" s="1"/>
  <c r="Q23" i="14" l="1"/>
  <c r="P23" i="14"/>
  <c r="N24" i="14"/>
  <c r="E24" i="14" s="1"/>
  <c r="F24" i="14" s="1"/>
  <c r="K25" i="14"/>
  <c r="M25" i="14" s="1"/>
  <c r="Q24" i="14" l="1"/>
  <c r="P24" i="14"/>
  <c r="N25" i="14"/>
  <c r="E25" i="14" s="1"/>
  <c r="F25" i="14" s="1"/>
  <c r="K26" i="14"/>
  <c r="M26" i="14" s="1"/>
  <c r="Q25" i="14" l="1"/>
  <c r="P25" i="14"/>
  <c r="N26" i="14"/>
  <c r="E26" i="14" s="1"/>
  <c r="F26" i="14" s="1"/>
  <c r="K27" i="14"/>
  <c r="M27" i="14" s="1"/>
  <c r="Q26" i="14" l="1"/>
  <c r="P26" i="14"/>
  <c r="N27" i="14"/>
  <c r="E27" i="14" s="1"/>
  <c r="F27" i="14" s="1"/>
  <c r="K28" i="14"/>
  <c r="M28" i="14" s="1"/>
  <c r="Q27" i="14" l="1"/>
  <c r="P27" i="14"/>
  <c r="N28" i="14"/>
  <c r="E28" i="14" s="1"/>
  <c r="F28" i="14" s="1"/>
  <c r="K29" i="14"/>
  <c r="M29" i="14" s="1"/>
  <c r="Q28" i="14" l="1"/>
  <c r="P28" i="14"/>
  <c r="N29" i="14"/>
  <c r="E29" i="14" s="1"/>
  <c r="F29" i="14" s="1"/>
  <c r="K30" i="14"/>
  <c r="M30" i="14" s="1"/>
  <c r="Q29" i="14" l="1"/>
  <c r="P29" i="14"/>
  <c r="N30" i="14"/>
  <c r="E30" i="14" s="1"/>
  <c r="F30" i="14" s="1"/>
  <c r="K31" i="14"/>
  <c r="M31" i="14" s="1"/>
  <c r="Q30" i="14" l="1"/>
  <c r="P30" i="14"/>
  <c r="N31" i="14"/>
  <c r="E31" i="14" s="1"/>
  <c r="F31" i="14" s="1"/>
  <c r="K32" i="14"/>
  <c r="M32" i="14" s="1"/>
  <c r="Q31" i="14" l="1"/>
  <c r="P31" i="14"/>
  <c r="N32" i="14"/>
  <c r="E32" i="14" s="1"/>
  <c r="F32" i="14" s="1"/>
  <c r="K33" i="14"/>
  <c r="M33" i="14" s="1"/>
  <c r="Q32" i="14" l="1"/>
  <c r="P32" i="14"/>
  <c r="N33" i="14"/>
  <c r="E33" i="14" s="1"/>
  <c r="F33" i="14" s="1"/>
  <c r="K34" i="14"/>
  <c r="M34" i="14" s="1"/>
  <c r="Q33" i="14" l="1"/>
  <c r="P33" i="14"/>
  <c r="N34" i="14"/>
  <c r="E34" i="14" s="1"/>
  <c r="F34" i="14" s="1"/>
  <c r="K35" i="14"/>
  <c r="M35" i="14" s="1"/>
  <c r="Q34" i="14" l="1"/>
  <c r="P34" i="14"/>
  <c r="N35" i="14"/>
  <c r="E35" i="14" s="1"/>
  <c r="F35" i="14" s="1"/>
  <c r="K36" i="14"/>
  <c r="M36" i="14" s="1"/>
  <c r="Q35" i="14" l="1"/>
  <c r="P35" i="14"/>
  <c r="N36" i="14"/>
  <c r="E36" i="14" s="1"/>
  <c r="F36" i="14" s="1"/>
  <c r="K37" i="14"/>
  <c r="M37" i="14" s="1"/>
  <c r="Q36" i="14" l="1"/>
  <c r="P36" i="14"/>
  <c r="N37" i="14"/>
  <c r="E37" i="14" s="1"/>
  <c r="F37" i="14" s="1"/>
  <c r="K38" i="14"/>
  <c r="M38" i="14" s="1"/>
  <c r="Q37" i="14" l="1"/>
  <c r="P37" i="14"/>
  <c r="N38" i="14"/>
  <c r="E38" i="14" s="1"/>
  <c r="F38" i="14" s="1"/>
  <c r="K39" i="14"/>
  <c r="M39" i="14" s="1"/>
  <c r="Q38" i="14" l="1"/>
  <c r="P38" i="14"/>
  <c r="N39" i="14"/>
  <c r="E39" i="14" s="1"/>
  <c r="F39" i="14" s="1"/>
  <c r="K40" i="14"/>
  <c r="M40" i="14" s="1"/>
  <c r="Q39" i="14" l="1"/>
  <c r="P39" i="14"/>
  <c r="N40" i="14"/>
  <c r="E40" i="14" s="1"/>
  <c r="F40" i="14" s="1"/>
  <c r="K41" i="14"/>
  <c r="M41" i="14" s="1"/>
  <c r="I23" i="6"/>
  <c r="H23" i="6"/>
  <c r="G22" i="6"/>
  <c r="T5" i="4"/>
  <c r="T6" i="4"/>
  <c r="T4" i="4"/>
  <c r="J22" i="6"/>
  <c r="M4" i="6"/>
  <c r="M5" i="6"/>
  <c r="M6" i="6"/>
  <c r="M7" i="6"/>
  <c r="M8" i="6"/>
  <c r="M9" i="6"/>
  <c r="M10" i="6"/>
  <c r="M11" i="6"/>
  <c r="M12" i="6"/>
  <c r="M13" i="6"/>
  <c r="M14" i="6"/>
  <c r="M15" i="6"/>
  <c r="M16" i="6"/>
  <c r="M17" i="6"/>
  <c r="M18" i="6"/>
  <c r="M19" i="6"/>
  <c r="M20" i="6"/>
  <c r="M21" i="6"/>
  <c r="M22" i="6"/>
  <c r="M3" i="6"/>
  <c r="Q40" i="14" l="1"/>
  <c r="P40" i="14"/>
  <c r="N41" i="14"/>
  <c r="E41" i="14" s="1"/>
  <c r="F41" i="14" s="1"/>
  <c r="L26" i="6"/>
  <c r="N22" i="6"/>
  <c r="K42" i="14"/>
  <c r="T22" i="6"/>
  <c r="C22" i="6"/>
  <c r="F9" i="4"/>
  <c r="F10" i="4"/>
  <c r="F8" i="4"/>
  <c r="U6" i="4"/>
  <c r="U5" i="4"/>
  <c r="U4" i="4"/>
  <c r="J13" i="4"/>
  <c r="H12" i="4"/>
  <c r="B3" i="5"/>
  <c r="R20" i="5"/>
  <c r="R21" i="5"/>
  <c r="R22" i="5"/>
  <c r="R23" i="5"/>
  <c r="R24" i="5"/>
  <c r="R25" i="5"/>
  <c r="R26" i="5"/>
  <c r="R27" i="5"/>
  <c r="R28" i="5"/>
  <c r="R29" i="5"/>
  <c r="R30" i="5"/>
  <c r="R31" i="5"/>
  <c r="R32" i="5"/>
  <c r="R33" i="5"/>
  <c r="R34" i="5"/>
  <c r="R35" i="5"/>
  <c r="R36" i="5"/>
  <c r="R37" i="5"/>
  <c r="R38" i="5"/>
  <c r="R39" i="5"/>
  <c r="R40" i="5"/>
  <c r="R41" i="5"/>
  <c r="R42" i="5"/>
  <c r="R43" i="5"/>
  <c r="R44" i="5"/>
  <c r="R45" i="5"/>
  <c r="R46" i="5"/>
  <c r="R47" i="5"/>
  <c r="R48" i="5"/>
  <c r="R49" i="5"/>
  <c r="R50" i="5"/>
  <c r="R51" i="5"/>
  <c r="R52" i="5"/>
  <c r="R53" i="5"/>
  <c r="R54" i="5"/>
  <c r="R55" i="5"/>
  <c r="R56" i="5"/>
  <c r="R57" i="5"/>
  <c r="R58" i="5"/>
  <c r="R59" i="5"/>
  <c r="R60" i="5"/>
  <c r="R61" i="5"/>
  <c r="R62" i="5"/>
  <c r="R63" i="5"/>
  <c r="R64" i="5"/>
  <c r="R65" i="5"/>
  <c r="R66" i="5"/>
  <c r="R67" i="5"/>
  <c r="R68" i="5"/>
  <c r="R69" i="5"/>
  <c r="R70" i="5"/>
  <c r="R71" i="5"/>
  <c r="R72" i="5"/>
  <c r="R73" i="5"/>
  <c r="R74" i="5"/>
  <c r="R75" i="5"/>
  <c r="R76" i="5"/>
  <c r="R77" i="5"/>
  <c r="R78" i="5"/>
  <c r="R79" i="5"/>
  <c r="R80" i="5"/>
  <c r="R81" i="5"/>
  <c r="R82" i="5"/>
  <c r="R83" i="5"/>
  <c r="R84" i="5"/>
  <c r="R85" i="5"/>
  <c r="R86" i="5"/>
  <c r="R87" i="5"/>
  <c r="R88" i="5"/>
  <c r="R89" i="5"/>
  <c r="R90" i="5"/>
  <c r="R91" i="5"/>
  <c r="R92" i="5"/>
  <c r="R93" i="5"/>
  <c r="R94" i="5"/>
  <c r="R95" i="5"/>
  <c r="R96" i="5"/>
  <c r="R19" i="5"/>
  <c r="Q41" i="14" l="1"/>
  <c r="P41" i="14"/>
  <c r="L30" i="6"/>
  <c r="L27" i="6"/>
  <c r="H9" i="4"/>
  <c r="H10" i="4"/>
  <c r="H8" i="4"/>
  <c r="M42" i="14"/>
  <c r="K43" i="14"/>
  <c r="M43" i="14" s="1"/>
  <c r="N42" i="14" l="1"/>
  <c r="E42" i="14" s="1"/>
  <c r="F42" i="14" s="1"/>
  <c r="N43" i="14"/>
  <c r="E43" i="14" s="1"/>
  <c r="F43" i="14" s="1"/>
  <c r="K30" i="6"/>
  <c r="L31" i="6"/>
  <c r="K44" i="14"/>
  <c r="M44" i="14" s="1"/>
  <c r="Q42" i="14" l="1"/>
  <c r="Q43" i="14" s="1"/>
  <c r="P42" i="14"/>
  <c r="P43" i="14" s="1"/>
  <c r="N44" i="14"/>
  <c r="E44" i="14" s="1"/>
  <c r="F44" i="14" s="1"/>
  <c r="K45" i="14"/>
  <c r="M45" i="14" s="1"/>
  <c r="P44" i="14" l="1"/>
  <c r="Q44" i="14"/>
  <c r="N45" i="14"/>
  <c r="E45" i="14" s="1"/>
  <c r="F45" i="14" s="1"/>
  <c r="K46" i="14"/>
  <c r="M46" i="14" s="1"/>
  <c r="Q45" i="14" l="1"/>
  <c r="P45" i="14"/>
  <c r="N46" i="14"/>
  <c r="E46" i="14" s="1"/>
  <c r="F46" i="14" s="1"/>
  <c r="K47" i="14"/>
  <c r="M47" i="14" s="1"/>
  <c r="P46" i="14" l="1"/>
  <c r="Q46" i="14"/>
  <c r="N47" i="14"/>
  <c r="E47" i="14" s="1"/>
  <c r="F47" i="14" s="1"/>
  <c r="K48" i="14"/>
  <c r="M48" i="14" s="1"/>
  <c r="Q47" i="14" l="1"/>
  <c r="P47" i="14"/>
  <c r="N48" i="14"/>
  <c r="E48" i="14" s="1"/>
  <c r="F48" i="14" s="1"/>
  <c r="K49" i="14"/>
  <c r="M49" i="14" s="1"/>
  <c r="P48" i="14" l="1"/>
  <c r="Q48" i="14"/>
  <c r="N49" i="14"/>
  <c r="E49" i="14" s="1"/>
  <c r="F49" i="14" s="1"/>
  <c r="K50" i="14"/>
  <c r="M50" i="14" s="1"/>
  <c r="Q49" i="14" l="1"/>
  <c r="P49" i="14"/>
  <c r="N50" i="14"/>
  <c r="E50" i="14" s="1"/>
  <c r="F50" i="14" s="1"/>
  <c r="K51" i="14"/>
  <c r="M51" i="14" s="1"/>
  <c r="P50" i="14" l="1"/>
  <c r="Q50" i="14"/>
  <c r="N51" i="14"/>
  <c r="E51" i="14" s="1"/>
  <c r="F51" i="14" s="1"/>
  <c r="K52" i="14"/>
  <c r="M52" i="14" s="1"/>
  <c r="Q51" i="14" l="1"/>
  <c r="P51" i="14"/>
  <c r="N52" i="14"/>
  <c r="E52" i="14" s="1"/>
  <c r="F52" i="14" s="1"/>
  <c r="K53" i="14"/>
  <c r="M53" i="14" s="1"/>
  <c r="Q52" i="14" l="1"/>
  <c r="P52" i="14"/>
  <c r="N53" i="14"/>
  <c r="E53" i="14" s="1"/>
  <c r="F53" i="14" s="1"/>
  <c r="K54" i="14"/>
  <c r="M54" i="14" s="1"/>
  <c r="Q53" i="14" l="1"/>
  <c r="P53" i="14"/>
  <c r="N54" i="14"/>
  <c r="E54" i="14" s="1"/>
  <c r="F54" i="14" s="1"/>
  <c r="K55" i="14"/>
  <c r="M55" i="14" s="1"/>
  <c r="P54" i="14" l="1"/>
  <c r="Q54" i="14"/>
  <c r="E55" i="14"/>
  <c r="F55" i="14" s="1"/>
  <c r="N55" i="14"/>
  <c r="K56" i="14"/>
  <c r="M56" i="14" s="1"/>
  <c r="Q55" i="14" l="1"/>
  <c r="E56" i="14"/>
  <c r="F56" i="14" s="1"/>
  <c r="N56" i="14"/>
  <c r="P55" i="14"/>
  <c r="K57" i="14"/>
  <c r="M57" i="14" s="1"/>
  <c r="Q56" i="14" l="1"/>
  <c r="N57" i="14"/>
  <c r="E57" i="14" s="1"/>
  <c r="F57" i="14" s="1"/>
  <c r="P56" i="14"/>
  <c r="K58" i="14"/>
  <c r="M58" i="14" s="1"/>
  <c r="Q57" i="14" l="1"/>
  <c r="P57" i="14"/>
  <c r="N58" i="14"/>
  <c r="E58" i="14" s="1"/>
  <c r="F58" i="14" s="1"/>
  <c r="K59" i="14"/>
  <c r="M59" i="14" s="1"/>
  <c r="P58" i="14" l="1"/>
  <c r="Q58" i="14"/>
  <c r="N59" i="14"/>
  <c r="E59" i="14" s="1"/>
  <c r="F59" i="14" s="1"/>
  <c r="K60" i="14"/>
  <c r="Q59" i="14" l="1"/>
  <c r="P59" i="14"/>
  <c r="M60" i="14"/>
  <c r="K61" i="14"/>
  <c r="M61" i="14" s="1"/>
  <c r="N61" i="14" l="1"/>
  <c r="E61" i="14" s="1"/>
  <c r="F61" i="14" s="1"/>
  <c r="N60" i="14"/>
  <c r="E60" i="14" s="1"/>
  <c r="F60" i="14" s="1"/>
  <c r="K62" i="14"/>
  <c r="M62" i="14" s="1"/>
  <c r="P60" i="14" l="1"/>
  <c r="P61" i="14" s="1"/>
  <c r="Q60" i="14"/>
  <c r="Q61" i="14" s="1"/>
  <c r="N62" i="14"/>
  <c r="E62" i="14" s="1"/>
  <c r="F62" i="14" s="1"/>
  <c r="K63" i="14"/>
  <c r="M63" i="14" s="1"/>
  <c r="P62" i="14" l="1"/>
  <c r="Q62" i="14"/>
  <c r="N63" i="14"/>
  <c r="E63" i="14" s="1"/>
  <c r="F63" i="14" s="1"/>
  <c r="K64" i="14"/>
  <c r="M64" i="14" s="1"/>
  <c r="P63" i="14" l="1"/>
  <c r="Q63" i="14"/>
  <c r="N64" i="14"/>
  <c r="E64" i="14" s="1"/>
  <c r="F64" i="14" s="1"/>
  <c r="K65" i="14"/>
  <c r="M65" i="14" s="1"/>
  <c r="P64" i="14" l="1"/>
  <c r="Q64" i="14"/>
  <c r="N65" i="14"/>
  <c r="E65" i="14" s="1"/>
  <c r="F65" i="14" s="1"/>
  <c r="K66" i="14"/>
  <c r="M66" i="14" s="1"/>
  <c r="P65" i="14" l="1"/>
  <c r="Q65" i="14"/>
  <c r="N66" i="14"/>
  <c r="E66" i="14" s="1"/>
  <c r="F66" i="14" s="1"/>
  <c r="K67" i="14"/>
  <c r="M67" i="14" s="1"/>
  <c r="P66" i="14" l="1"/>
  <c r="Q66" i="14"/>
  <c r="N67" i="14"/>
  <c r="E67" i="14" s="1"/>
  <c r="F67" i="14" s="1"/>
  <c r="K68" i="14"/>
  <c r="M68" i="14" s="1"/>
  <c r="P67" i="14" l="1"/>
  <c r="Q67" i="14"/>
  <c r="N68" i="14"/>
  <c r="E68" i="14" s="1"/>
  <c r="F68" i="14" s="1"/>
  <c r="K69" i="14"/>
  <c r="M69" i="14" s="1"/>
  <c r="P68" i="14" l="1"/>
  <c r="Q68" i="14"/>
  <c r="N69" i="14"/>
  <c r="E69" i="14" s="1"/>
  <c r="F69" i="14" s="1"/>
  <c r="K70" i="14"/>
  <c r="M70" i="14" s="1"/>
  <c r="P69" i="14" l="1"/>
  <c r="Q69" i="14"/>
  <c r="N70" i="14"/>
  <c r="E70" i="14" s="1"/>
  <c r="F70" i="14" s="1"/>
  <c r="K71" i="14"/>
  <c r="M71" i="14" s="1"/>
  <c r="P70" i="14" l="1"/>
  <c r="Q70" i="14"/>
  <c r="N71" i="14"/>
  <c r="E71" i="14" s="1"/>
  <c r="F71" i="14" s="1"/>
  <c r="K72" i="14"/>
  <c r="P71" i="14" l="1"/>
  <c r="Q71" i="14"/>
  <c r="M72" i="14"/>
  <c r="K73" i="14"/>
  <c r="M73" i="14" s="1"/>
  <c r="N73" i="14" l="1"/>
  <c r="E73" i="14" s="1"/>
  <c r="F73" i="14" s="1"/>
  <c r="N72" i="14"/>
  <c r="E72" i="14" s="1"/>
  <c r="F72" i="14" s="1"/>
  <c r="K74" i="14"/>
  <c r="M74" i="14" s="1"/>
  <c r="P72" i="14" l="1"/>
  <c r="P73" i="14" s="1"/>
  <c r="Q72" i="14"/>
  <c r="Q73" i="14" s="1"/>
  <c r="N74" i="14"/>
  <c r="E74" i="14" s="1"/>
  <c r="F74" i="14" s="1"/>
  <c r="K75" i="14"/>
  <c r="M75" i="14" s="1"/>
  <c r="P74" i="14" l="1"/>
  <c r="Q74" i="14"/>
  <c r="N75" i="14"/>
  <c r="E75" i="14" s="1"/>
  <c r="F75" i="14" s="1"/>
  <c r="K76" i="14"/>
  <c r="M76" i="14" s="1"/>
  <c r="P75" i="14" l="1"/>
  <c r="Q75" i="14"/>
  <c r="N76" i="14"/>
  <c r="E76" i="14" s="1"/>
  <c r="F76" i="14" s="1"/>
  <c r="K77" i="14"/>
  <c r="M77" i="14" s="1"/>
  <c r="Q76" i="14" l="1"/>
  <c r="P76" i="14"/>
  <c r="N77" i="14"/>
  <c r="E77" i="14" s="1"/>
  <c r="F77" i="14" s="1"/>
  <c r="K78" i="14"/>
  <c r="M78" i="14" s="1"/>
  <c r="P77" i="14" l="1"/>
  <c r="Q77" i="14"/>
  <c r="N78" i="14"/>
  <c r="E78" i="14" s="1"/>
  <c r="F78" i="14" s="1"/>
  <c r="K79" i="14"/>
  <c r="M79" i="14" s="1"/>
  <c r="Q78" i="14" l="1"/>
  <c r="P78" i="14"/>
  <c r="N79" i="14"/>
  <c r="E79" i="14" s="1"/>
  <c r="F79" i="14" s="1"/>
  <c r="K80" i="14"/>
  <c r="M80" i="14" s="1"/>
  <c r="P79" i="14" l="1"/>
  <c r="Q79" i="14"/>
  <c r="N80" i="14"/>
  <c r="E80" i="14" s="1"/>
  <c r="F80" i="14" s="1"/>
  <c r="K81" i="14"/>
  <c r="M81" i="14" s="1"/>
  <c r="Q80" i="14" l="1"/>
  <c r="P80" i="14"/>
  <c r="N81" i="14"/>
  <c r="E81" i="14" s="1"/>
  <c r="F81" i="14" s="1"/>
  <c r="K82" i="14"/>
  <c r="M82" i="14" s="1"/>
  <c r="P81" i="14" l="1"/>
  <c r="Q81" i="14"/>
  <c r="N82" i="14"/>
  <c r="E82" i="14" s="1"/>
  <c r="F82" i="14" s="1"/>
  <c r="K83" i="14"/>
  <c r="M83" i="14" s="1"/>
  <c r="Q82" i="14" l="1"/>
  <c r="P82" i="14"/>
  <c r="N83" i="14"/>
  <c r="E83" i="14" s="1"/>
  <c r="F83" i="14" s="1"/>
  <c r="K84" i="14"/>
  <c r="M84" i="14" s="1"/>
  <c r="P83" i="14" l="1"/>
  <c r="Q83" i="14"/>
  <c r="N84" i="14"/>
  <c r="E84" i="14" s="1"/>
  <c r="F84" i="14" s="1"/>
  <c r="K85" i="14"/>
  <c r="M85" i="14" s="1"/>
  <c r="Q84" i="14" l="1"/>
  <c r="P84" i="14"/>
  <c r="N85" i="14"/>
  <c r="E85" i="14" s="1"/>
  <c r="F85" i="14" s="1"/>
  <c r="K86" i="14"/>
  <c r="M86" i="14" s="1"/>
  <c r="P85" i="14" l="1"/>
  <c r="Q85" i="14"/>
  <c r="N86" i="14"/>
  <c r="E86" i="14" s="1"/>
  <c r="F86" i="14" s="1"/>
  <c r="K87" i="14"/>
  <c r="M87" i="14" s="1"/>
  <c r="Q86" i="14" l="1"/>
  <c r="P86" i="14"/>
  <c r="N87" i="14"/>
  <c r="E87" i="14" s="1"/>
  <c r="F87" i="14" s="1"/>
  <c r="K88" i="14"/>
  <c r="M88" i="14" s="1"/>
  <c r="P87" i="14" l="1"/>
  <c r="Q87" i="14"/>
  <c r="N88" i="14"/>
  <c r="E88" i="14" s="1"/>
  <c r="F88" i="14" s="1"/>
  <c r="K89" i="14"/>
  <c r="M89" i="14" s="1"/>
  <c r="Q88" i="14" l="1"/>
  <c r="P88" i="14"/>
  <c r="N89" i="14"/>
  <c r="E89" i="14" s="1"/>
  <c r="F89" i="14" s="1"/>
  <c r="K90" i="14"/>
  <c r="M90" i="14" s="1"/>
  <c r="P89" i="14" l="1"/>
  <c r="Q89" i="14"/>
  <c r="N90" i="14"/>
  <c r="E90" i="14" s="1"/>
  <c r="F90" i="14" s="1"/>
  <c r="K91" i="14"/>
  <c r="M91" i="14" s="1"/>
  <c r="Q90" i="14" l="1"/>
  <c r="P90" i="14"/>
  <c r="N91" i="14"/>
  <c r="E91" i="14" s="1"/>
  <c r="F91" i="14" s="1"/>
  <c r="K92" i="14"/>
  <c r="P91" i="14" l="1"/>
  <c r="Q91" i="14"/>
  <c r="M92" i="14"/>
  <c r="M93" i="14"/>
  <c r="K94" i="14"/>
  <c r="N93" i="14" l="1"/>
  <c r="E93" i="14" s="1"/>
  <c r="F93" i="14" s="1"/>
  <c r="N92" i="14"/>
  <c r="E92" i="14" s="1"/>
  <c r="F92" i="14" s="1"/>
  <c r="M94" i="14"/>
  <c r="K95" i="14"/>
  <c r="Q92" i="14" l="1"/>
  <c r="Q93" i="14" s="1"/>
  <c r="P92" i="14"/>
  <c r="P93" i="14" s="1"/>
  <c r="N94" i="14"/>
  <c r="E94" i="14" s="1"/>
  <c r="F94" i="14" s="1"/>
  <c r="M95" i="14"/>
  <c r="K96" i="14"/>
  <c r="M96" i="14" s="1"/>
  <c r="Q94" i="14" l="1"/>
  <c r="P94" i="14"/>
  <c r="N96" i="14"/>
  <c r="E96" i="14" s="1"/>
  <c r="F96" i="14" s="1"/>
  <c r="N95" i="14"/>
  <c r="E95" i="14" s="1"/>
  <c r="F95" i="14" s="1"/>
  <c r="K97" i="14"/>
  <c r="Q95" i="14" l="1"/>
  <c r="Q96" i="14" s="1"/>
  <c r="P95" i="14"/>
  <c r="P96" i="14" s="1"/>
  <c r="M97" i="14"/>
  <c r="M98" i="14"/>
  <c r="N98" i="14" s="1"/>
  <c r="E98" i="14" s="1"/>
  <c r="F98" i="14" s="1"/>
  <c r="K99" i="14"/>
  <c r="M99" i="14" l="1"/>
  <c r="N99" i="14" s="1"/>
  <c r="E99" i="14" s="1"/>
  <c r="F99" i="14" s="1"/>
  <c r="N97" i="14"/>
  <c r="E97" i="14" s="1"/>
  <c r="F97" i="14" s="1"/>
  <c r="K100" i="14"/>
  <c r="M100" i="14" s="1"/>
  <c r="Q97" i="14" l="1"/>
  <c r="Q98" i="14" s="1"/>
  <c r="P97" i="14"/>
  <c r="P98" i="14" s="1"/>
  <c r="P99" i="14" s="1"/>
  <c r="Q99" i="14"/>
  <c r="N100" i="14"/>
  <c r="E100" i="14" s="1"/>
  <c r="F100" i="14" s="1"/>
  <c r="K101" i="14"/>
  <c r="M101" i="14" s="1"/>
  <c r="Q100" i="14" l="1"/>
  <c r="P100" i="14"/>
  <c r="N101" i="14"/>
  <c r="E101" i="14" s="1"/>
  <c r="F101" i="14" s="1"/>
  <c r="K102" i="14"/>
  <c r="M102" i="14" s="1"/>
  <c r="Q101" i="14" l="1"/>
  <c r="P101" i="14"/>
  <c r="N102" i="14"/>
  <c r="E102" i="14" s="1"/>
  <c r="F102" i="14" s="1"/>
  <c r="K103" i="14"/>
  <c r="M103" i="14" s="1"/>
  <c r="Q102" i="14" l="1"/>
  <c r="P102" i="14"/>
  <c r="N103" i="14"/>
  <c r="E103" i="14" s="1"/>
  <c r="F103" i="14" s="1"/>
  <c r="K104" i="14"/>
  <c r="M104" i="14" s="1"/>
  <c r="Q103" i="14" l="1"/>
  <c r="P103" i="14"/>
  <c r="N104" i="14"/>
  <c r="E104" i="14" s="1"/>
  <c r="F104" i="14" s="1"/>
  <c r="K105" i="14"/>
  <c r="M105" i="14" s="1"/>
  <c r="Q104" i="14" l="1"/>
  <c r="P104" i="14"/>
  <c r="N105" i="14"/>
  <c r="E105" i="14" s="1"/>
  <c r="F105" i="14" s="1"/>
  <c r="K106" i="14"/>
  <c r="M106" i="14" s="1"/>
  <c r="Q105" i="14" l="1"/>
  <c r="P105" i="14"/>
  <c r="N106" i="14"/>
  <c r="E106" i="14" s="1"/>
  <c r="F106" i="14" s="1"/>
  <c r="K107" i="14"/>
  <c r="M107" i="14" s="1"/>
  <c r="Q106" i="14" l="1"/>
  <c r="P106" i="14"/>
  <c r="N107" i="14"/>
  <c r="E107" i="14" s="1"/>
  <c r="F107" i="14" s="1"/>
  <c r="K108" i="14"/>
  <c r="M108" i="14" s="1"/>
  <c r="Q107" i="14" l="1"/>
  <c r="P107" i="14"/>
  <c r="N108" i="14"/>
  <c r="E108" i="14" s="1"/>
  <c r="F108" i="14" s="1"/>
  <c r="K109" i="14"/>
  <c r="M109" i="14" s="1"/>
  <c r="Q108" i="14" l="1"/>
  <c r="P108" i="14"/>
  <c r="N109" i="14"/>
  <c r="E109" i="14" s="1"/>
  <c r="F109" i="14" s="1"/>
  <c r="K110" i="14"/>
  <c r="M110" i="14" s="1"/>
  <c r="Q109" i="14" l="1"/>
  <c r="P109" i="14"/>
  <c r="N110" i="14"/>
  <c r="E110" i="14" s="1"/>
  <c r="F110" i="14" s="1"/>
  <c r="K111" i="14"/>
  <c r="M111" i="14" s="1"/>
  <c r="Q110" i="14" l="1"/>
  <c r="P110" i="14"/>
  <c r="N111" i="14"/>
  <c r="E111" i="14" s="1"/>
  <c r="F111" i="14" s="1"/>
  <c r="K112" i="14"/>
  <c r="M112" i="14" s="1"/>
  <c r="Q111" i="14" l="1"/>
  <c r="P111" i="14"/>
  <c r="N112" i="14"/>
  <c r="E112" i="14" s="1"/>
  <c r="F112" i="14" s="1"/>
  <c r="K113" i="14"/>
  <c r="M113" i="14" s="1"/>
  <c r="Q112" i="14" l="1"/>
  <c r="P112" i="14"/>
  <c r="N113" i="14"/>
  <c r="E113" i="14" s="1"/>
  <c r="F113" i="14" s="1"/>
  <c r="K114" i="14"/>
  <c r="M114" i="14" s="1"/>
  <c r="Q113" i="14" l="1"/>
  <c r="P113" i="14"/>
  <c r="N114" i="14"/>
  <c r="E114" i="14" s="1"/>
  <c r="F114" i="14" s="1"/>
  <c r="K115" i="14"/>
  <c r="M115" i="14" s="1"/>
  <c r="Q114" i="14" l="1"/>
  <c r="P114" i="14"/>
  <c r="N115" i="14"/>
  <c r="E115" i="14" s="1"/>
  <c r="F115" i="14" s="1"/>
  <c r="K116" i="14"/>
  <c r="Q115" i="14" l="1"/>
  <c r="P115" i="14"/>
  <c r="M116" i="14"/>
  <c r="K117" i="14"/>
  <c r="M117" i="14" s="1"/>
  <c r="N117" i="14" l="1"/>
  <c r="E117" i="14" s="1"/>
  <c r="F117" i="14" s="1"/>
  <c r="N116" i="14"/>
  <c r="E116" i="14" s="1"/>
  <c r="F116" i="14" s="1"/>
  <c r="K118" i="14"/>
  <c r="M118" i="14" s="1"/>
  <c r="Q116" i="14" l="1"/>
  <c r="Q117" i="14" s="1"/>
  <c r="P116" i="14"/>
  <c r="P117" i="14" s="1"/>
  <c r="N118" i="14"/>
  <c r="E118" i="14" s="1"/>
  <c r="F118" i="14" s="1"/>
  <c r="K119" i="14"/>
  <c r="M119" i="14" s="1"/>
  <c r="P118" i="14" l="1"/>
  <c r="Q118" i="14"/>
  <c r="N119" i="14"/>
  <c r="E119" i="14" s="1"/>
  <c r="F119" i="14" s="1"/>
  <c r="K120" i="14"/>
  <c r="M120" i="14" s="1"/>
  <c r="Q119" i="14" l="1"/>
  <c r="P119" i="14"/>
  <c r="N120" i="14"/>
  <c r="E120" i="14" s="1"/>
  <c r="F120" i="14" s="1"/>
  <c r="K121" i="14"/>
  <c r="M121" i="14" s="1"/>
  <c r="P120" i="14" l="1"/>
  <c r="Q120" i="14"/>
  <c r="N121" i="14"/>
  <c r="E121" i="14" s="1"/>
  <c r="F121" i="14" s="1"/>
  <c r="K122" i="14"/>
  <c r="M122" i="14" s="1"/>
  <c r="Q121" i="14" l="1"/>
  <c r="P121" i="14"/>
  <c r="N122" i="14"/>
  <c r="E122" i="14" s="1"/>
  <c r="F122" i="14" s="1"/>
  <c r="K123" i="14"/>
  <c r="M123" i="14" s="1"/>
  <c r="P122" i="14" l="1"/>
  <c r="Q122" i="14"/>
  <c r="N123" i="14"/>
  <c r="E123" i="14" s="1"/>
  <c r="F123" i="14" s="1"/>
  <c r="K124" i="14"/>
  <c r="M124" i="14" s="1"/>
  <c r="Q123" i="14" l="1"/>
  <c r="P123" i="14"/>
  <c r="N124" i="14"/>
  <c r="E124" i="14" s="1"/>
  <c r="F124" i="14" s="1"/>
  <c r="K125" i="14"/>
  <c r="M125" i="14" s="1"/>
  <c r="P124" i="14" l="1"/>
  <c r="Q124" i="14"/>
  <c r="N125" i="14"/>
  <c r="E125" i="14" s="1"/>
  <c r="F125" i="14" s="1"/>
  <c r="K126" i="14"/>
  <c r="M126" i="14" s="1"/>
  <c r="Q125" i="14" l="1"/>
  <c r="P125" i="14"/>
  <c r="N126" i="14"/>
  <c r="E126" i="14" s="1"/>
  <c r="F126" i="14" s="1"/>
  <c r="K127" i="14"/>
  <c r="M127" i="14" s="1"/>
  <c r="P126" i="14" l="1"/>
  <c r="Q126" i="14"/>
  <c r="N127" i="14"/>
  <c r="E127" i="14" s="1"/>
  <c r="F127" i="14" s="1"/>
  <c r="K128" i="14"/>
  <c r="Q127" i="14" l="1"/>
  <c r="P127" i="14"/>
  <c r="M128" i="14"/>
  <c r="K129" i="14"/>
  <c r="M129" i="14" s="1"/>
  <c r="N129" i="14" l="1"/>
  <c r="E129" i="14" s="1"/>
  <c r="F129" i="14" s="1"/>
  <c r="N128" i="14"/>
  <c r="E128" i="14" s="1"/>
  <c r="F128" i="14" s="1"/>
  <c r="K130" i="14"/>
  <c r="M130" i="14" s="1"/>
  <c r="P128" i="14" l="1"/>
  <c r="P129" i="14" s="1"/>
  <c r="Q128" i="14"/>
  <c r="Q129" i="14" s="1"/>
  <c r="N130" i="14"/>
  <c r="E130" i="14" s="1"/>
  <c r="F130" i="14" s="1"/>
  <c r="K131" i="14"/>
  <c r="M131" i="14" s="1"/>
  <c r="P130" i="14" l="1"/>
  <c r="Q130" i="14"/>
  <c r="N131" i="14"/>
  <c r="E131" i="14" s="1"/>
  <c r="F131" i="14" s="1"/>
  <c r="K132" i="14"/>
  <c r="M132" i="14" s="1"/>
  <c r="P131" i="14" l="1"/>
  <c r="Q131" i="14"/>
  <c r="N132" i="14"/>
  <c r="E132" i="14" s="1"/>
  <c r="F132" i="14" s="1"/>
  <c r="K133" i="14"/>
  <c r="M133" i="14" s="1"/>
  <c r="P132" i="14" l="1"/>
  <c r="Q132" i="14"/>
  <c r="N133" i="14"/>
  <c r="E133" i="14" s="1"/>
  <c r="F133" i="14" s="1"/>
  <c r="K134" i="14"/>
  <c r="M134" i="14" s="1"/>
  <c r="P133" i="14" l="1"/>
  <c r="Q133" i="14"/>
  <c r="N134" i="14"/>
  <c r="E134" i="14" s="1"/>
  <c r="F134" i="14" s="1"/>
  <c r="K135" i="14"/>
  <c r="M135" i="14" s="1"/>
  <c r="P134" i="14" l="1"/>
  <c r="Q134" i="14"/>
  <c r="N135" i="14"/>
  <c r="E135" i="14" s="1"/>
  <c r="F135" i="14" s="1"/>
  <c r="K136" i="14"/>
  <c r="M136" i="14" s="1"/>
  <c r="P135" i="14" l="1"/>
  <c r="Q135" i="14"/>
  <c r="N136" i="14"/>
  <c r="E136" i="14" s="1"/>
  <c r="F136" i="14" s="1"/>
  <c r="K137" i="14"/>
  <c r="M137" i="14" s="1"/>
  <c r="P136" i="14" l="1"/>
  <c r="Q136" i="14"/>
  <c r="N137" i="14"/>
  <c r="E137" i="14" s="1"/>
  <c r="F137" i="14" s="1"/>
  <c r="K138" i="14"/>
  <c r="M138" i="14" s="1"/>
  <c r="P137" i="14" l="1"/>
  <c r="Q137" i="14"/>
  <c r="N138" i="14"/>
  <c r="E138" i="14" s="1"/>
  <c r="F138" i="14" s="1"/>
  <c r="K139" i="14"/>
  <c r="M139" i="14" s="1"/>
  <c r="P138" i="14" l="1"/>
  <c r="Q138" i="14"/>
  <c r="N139" i="14"/>
  <c r="E139" i="14" s="1"/>
  <c r="F139" i="14" s="1"/>
  <c r="K140" i="14"/>
  <c r="M140" i="14" s="1"/>
  <c r="P139" i="14" l="1"/>
  <c r="Q139" i="14"/>
  <c r="N140" i="14"/>
  <c r="E140" i="14" s="1"/>
  <c r="F140" i="14" s="1"/>
  <c r="K141" i="14"/>
  <c r="M141" i="14" s="1"/>
  <c r="P140" i="14" l="1"/>
  <c r="Q140" i="14"/>
  <c r="N141" i="14"/>
  <c r="E141" i="14" s="1"/>
  <c r="F141" i="14" s="1"/>
  <c r="K142" i="14"/>
  <c r="M142" i="14" s="1"/>
  <c r="P141" i="14" l="1"/>
  <c r="Q141" i="14"/>
  <c r="N142" i="14"/>
  <c r="E142" i="14" s="1"/>
  <c r="F142" i="14" s="1"/>
  <c r="K143" i="14"/>
  <c r="M143" i="14" s="1"/>
  <c r="P142" i="14" l="1"/>
  <c r="Q142" i="14"/>
  <c r="N143" i="14"/>
  <c r="E143" i="14" s="1"/>
  <c r="F143" i="14" s="1"/>
  <c r="K144" i="14"/>
  <c r="M144" i="14" s="1"/>
  <c r="P143" i="14" l="1"/>
  <c r="Q143" i="14"/>
  <c r="N144" i="14"/>
  <c r="E144" i="14" s="1"/>
  <c r="F144" i="14" s="1"/>
  <c r="K145" i="14"/>
  <c r="M145" i="14" s="1"/>
  <c r="P144" i="14" l="1"/>
  <c r="Q144" i="14"/>
  <c r="N145" i="14"/>
  <c r="E145" i="14" s="1"/>
  <c r="F145" i="14" s="1"/>
  <c r="K146" i="14"/>
  <c r="M146" i="14" s="1"/>
  <c r="P145" i="14" l="1"/>
  <c r="Q145" i="14"/>
  <c r="N146" i="14"/>
  <c r="E146" i="14" s="1"/>
  <c r="F146" i="14" s="1"/>
  <c r="K147" i="14"/>
  <c r="M147" i="14" s="1"/>
  <c r="P146" i="14" l="1"/>
  <c r="Q146" i="14"/>
  <c r="N147" i="14"/>
  <c r="E147" i="14" s="1"/>
  <c r="F147" i="14" s="1"/>
  <c r="K148" i="14"/>
  <c r="M148" i="14" s="1"/>
  <c r="P147" i="14" l="1"/>
  <c r="Q147" i="14"/>
  <c r="N148" i="14"/>
  <c r="E148" i="14" s="1"/>
  <c r="F148" i="14" s="1"/>
  <c r="K149" i="14"/>
  <c r="M149" i="14" s="1"/>
  <c r="P148" i="14" l="1"/>
  <c r="Q148" i="14"/>
  <c r="N149" i="14"/>
  <c r="E149" i="14" s="1"/>
  <c r="F149" i="14" s="1"/>
  <c r="K150" i="14"/>
  <c r="M150" i="14" s="1"/>
  <c r="P149" i="14" l="1"/>
  <c r="Q149" i="14"/>
  <c r="N150" i="14"/>
  <c r="E150" i="14" s="1"/>
  <c r="F150" i="14" s="1"/>
  <c r="K151" i="14"/>
  <c r="M151" i="14" s="1"/>
  <c r="P150" i="14" l="1"/>
  <c r="Q150" i="14"/>
  <c r="N151" i="14"/>
  <c r="E151" i="14" s="1"/>
  <c r="F151" i="14" s="1"/>
  <c r="K152" i="14"/>
  <c r="P151" i="14" l="1"/>
  <c r="Q151" i="14"/>
  <c r="M152" i="14"/>
  <c r="K153" i="14"/>
  <c r="M153" i="14" s="1"/>
  <c r="N153" i="14" l="1"/>
  <c r="E153" i="14" s="1"/>
  <c r="F153" i="14" s="1"/>
  <c r="N152" i="14"/>
  <c r="E152" i="14" s="1"/>
  <c r="F152" i="14" s="1"/>
  <c r="K154" i="14"/>
  <c r="M154" i="14" s="1"/>
  <c r="P152" i="14" l="1"/>
  <c r="P153" i="14" s="1"/>
  <c r="Q152" i="14"/>
  <c r="Q153" i="14" s="1"/>
  <c r="N154" i="14"/>
  <c r="E154" i="14" s="1"/>
  <c r="F154" i="14" s="1"/>
  <c r="K155" i="14"/>
  <c r="M155" i="14" s="1"/>
  <c r="P154" i="14" l="1"/>
  <c r="Q154" i="14"/>
  <c r="N155" i="14"/>
  <c r="E155" i="14" s="1"/>
  <c r="F155" i="14" s="1"/>
  <c r="K156" i="14"/>
  <c r="M156" i="14" s="1"/>
  <c r="P155" i="14" l="1"/>
  <c r="Q155" i="14"/>
  <c r="N156" i="14"/>
  <c r="E156" i="14" s="1"/>
  <c r="F156" i="14" s="1"/>
  <c r="K157" i="14"/>
  <c r="M157" i="14" s="1"/>
  <c r="P156" i="14" l="1"/>
  <c r="Q156" i="14"/>
  <c r="N157" i="14"/>
  <c r="E157" i="14" s="1"/>
  <c r="F157" i="14" s="1"/>
  <c r="K158" i="14"/>
  <c r="M158" i="14" s="1"/>
  <c r="P157" i="14" l="1"/>
  <c r="Q157" i="14"/>
  <c r="N158" i="14"/>
  <c r="E158" i="14" s="1"/>
  <c r="F158" i="14" s="1"/>
  <c r="K159" i="14"/>
  <c r="M159" i="14" s="1"/>
  <c r="P158" i="14" l="1"/>
  <c r="Q158" i="14"/>
  <c r="N159" i="14"/>
  <c r="E159" i="14" s="1"/>
  <c r="F159" i="14" s="1"/>
  <c r="K160" i="14"/>
  <c r="M160" i="14" s="1"/>
  <c r="P159" i="14" l="1"/>
  <c r="Q159" i="14"/>
  <c r="N160" i="14"/>
  <c r="E160" i="14" s="1"/>
  <c r="F160" i="14" s="1"/>
  <c r="K161" i="14"/>
  <c r="M161" i="14" s="1"/>
  <c r="P160" i="14" l="1"/>
  <c r="Q160" i="14"/>
  <c r="N161" i="14"/>
  <c r="E161" i="14" s="1"/>
  <c r="F161" i="14" s="1"/>
  <c r="K162" i="14"/>
  <c r="M162" i="14" s="1"/>
  <c r="P161" i="14" l="1"/>
  <c r="Q161" i="14"/>
  <c r="N162" i="14"/>
  <c r="E162" i="14" s="1"/>
  <c r="F162" i="14" s="1"/>
  <c r="K163" i="14"/>
  <c r="M163" i="14" s="1"/>
  <c r="P162" i="14" l="1"/>
  <c r="Q162" i="14"/>
  <c r="N163" i="14"/>
  <c r="E163" i="14" s="1"/>
  <c r="F163" i="14" s="1"/>
  <c r="K164" i="14"/>
  <c r="P163" i="14" l="1"/>
  <c r="Q163" i="14"/>
  <c r="M164" i="14"/>
  <c r="K165" i="14"/>
  <c r="M165" i="14" s="1"/>
  <c r="N165" i="14" l="1"/>
  <c r="E165" i="14" s="1"/>
  <c r="F165" i="14" s="1"/>
  <c r="N164" i="14"/>
  <c r="E164" i="14" s="1"/>
  <c r="F164" i="14" s="1"/>
  <c r="K166" i="14"/>
  <c r="M166" i="14" s="1"/>
  <c r="P164" i="14" l="1"/>
  <c r="P165" i="14" s="1"/>
  <c r="Q164" i="14"/>
  <c r="Q165" i="14" s="1"/>
  <c r="N166" i="14"/>
  <c r="E166" i="14" s="1"/>
  <c r="F166" i="14" s="1"/>
  <c r="K167" i="14"/>
  <c r="M167" i="14" s="1"/>
  <c r="Q166" i="14" l="1"/>
  <c r="P166" i="14"/>
  <c r="N167" i="14"/>
  <c r="E167" i="14" s="1"/>
  <c r="F167" i="14" s="1"/>
  <c r="K168" i="14"/>
  <c r="M168" i="14" s="1"/>
  <c r="P167" i="14" l="1"/>
  <c r="Q167" i="14"/>
  <c r="N168" i="14"/>
  <c r="E168" i="14" s="1"/>
  <c r="F168" i="14" s="1"/>
  <c r="K169" i="14"/>
  <c r="M169" i="14" s="1"/>
  <c r="Q168" i="14" l="1"/>
  <c r="P168" i="14"/>
  <c r="N169" i="14"/>
  <c r="E169" i="14" s="1"/>
  <c r="F169" i="14" s="1"/>
  <c r="K170" i="14"/>
  <c r="P169" i="14" l="1"/>
  <c r="Q169" i="14"/>
  <c r="M170" i="14"/>
  <c r="K171" i="14"/>
  <c r="M171" i="14" s="1"/>
  <c r="N171" i="14" l="1"/>
  <c r="E171" i="14" s="1"/>
  <c r="F171" i="14" s="1"/>
  <c r="N170" i="14"/>
  <c r="E170" i="14" s="1"/>
  <c r="F170" i="14" s="1"/>
  <c r="K172" i="14"/>
  <c r="M172" i="14" s="1"/>
  <c r="Q170" i="14" l="1"/>
  <c r="Q171" i="14" s="1"/>
  <c r="P170" i="14"/>
  <c r="P171" i="14" s="1"/>
  <c r="N172" i="14"/>
  <c r="E172" i="14" s="1"/>
  <c r="F172" i="14" s="1"/>
  <c r="K173" i="14"/>
  <c r="M173" i="14" s="1"/>
  <c r="Q172" i="14" l="1"/>
  <c r="P172" i="14"/>
  <c r="N173" i="14"/>
  <c r="E173" i="14" s="1"/>
  <c r="F173" i="14" s="1"/>
  <c r="K174" i="14"/>
  <c r="M174" i="14" s="1"/>
  <c r="Q173" i="14" l="1"/>
  <c r="P173" i="14"/>
  <c r="N174" i="14"/>
  <c r="E174" i="14" s="1"/>
  <c r="F174" i="14" s="1"/>
  <c r="K175" i="14"/>
  <c r="M175" i="14" s="1"/>
  <c r="Q174" i="14" l="1"/>
  <c r="P174" i="14"/>
  <c r="N175" i="14"/>
  <c r="E175" i="14" s="1"/>
  <c r="F175" i="14" s="1"/>
  <c r="K176" i="14"/>
  <c r="M176" i="14" s="1"/>
  <c r="Q175" i="14" l="1"/>
  <c r="P175" i="14"/>
  <c r="N176" i="14"/>
  <c r="E176" i="14" s="1"/>
  <c r="F176" i="14" s="1"/>
  <c r="K177" i="14"/>
  <c r="M177" i="14" s="1"/>
  <c r="Q176" i="14" l="1"/>
  <c r="P176" i="14"/>
  <c r="N177" i="14"/>
  <c r="E177" i="14" s="1"/>
  <c r="F177" i="14" s="1"/>
  <c r="K178" i="14"/>
  <c r="M178" i="14" s="1"/>
  <c r="Q177" i="14" l="1"/>
  <c r="P177" i="14"/>
  <c r="N178" i="14"/>
  <c r="E178" i="14" s="1"/>
  <c r="F178" i="14" s="1"/>
  <c r="K179" i="14"/>
  <c r="M179" i="14" s="1"/>
  <c r="Q178" i="14" l="1"/>
  <c r="P178" i="14"/>
  <c r="N179" i="14"/>
  <c r="E179" i="14" s="1"/>
  <c r="F179" i="14" s="1"/>
  <c r="K180" i="14"/>
  <c r="M180" i="14" s="1"/>
  <c r="Q179" i="14" l="1"/>
  <c r="P179" i="14"/>
  <c r="N180" i="14"/>
  <c r="E180" i="14" s="1"/>
  <c r="F180" i="14" s="1"/>
  <c r="K181" i="14"/>
  <c r="M181" i="14" s="1"/>
  <c r="Q180" i="14" l="1"/>
  <c r="P180" i="14"/>
  <c r="N181" i="14"/>
  <c r="E181" i="14" s="1"/>
  <c r="F181" i="14" s="1"/>
  <c r="K182" i="14"/>
  <c r="Q181" i="14" l="1"/>
  <c r="P181" i="14"/>
  <c r="M182" i="14"/>
  <c r="K183" i="14"/>
  <c r="M183" i="14" s="1"/>
  <c r="N183" i="14" l="1"/>
  <c r="E183" i="14" s="1"/>
  <c r="F183" i="14" s="1"/>
  <c r="N182" i="14"/>
  <c r="E182" i="14" s="1"/>
  <c r="F182" i="14" s="1"/>
  <c r="K184" i="14"/>
  <c r="M184" i="14" s="1"/>
  <c r="Q182" i="14" l="1"/>
  <c r="Q183" i="14" s="1"/>
  <c r="P182" i="14"/>
  <c r="P183" i="14" s="1"/>
  <c r="N184" i="14"/>
  <c r="E184" i="14" s="1"/>
  <c r="F184" i="14" s="1"/>
  <c r="K185" i="14"/>
  <c r="M185" i="14" s="1"/>
  <c r="P184" i="14" l="1"/>
  <c r="Q184" i="14"/>
  <c r="N185" i="14"/>
  <c r="E185" i="14" s="1"/>
  <c r="F185" i="14" s="1"/>
  <c r="K186" i="14"/>
  <c r="M186" i="14" s="1"/>
  <c r="Q185" i="14" l="1"/>
  <c r="P185" i="14"/>
  <c r="N186" i="14"/>
  <c r="E186" i="14" s="1"/>
  <c r="F186" i="14" s="1"/>
  <c r="K187" i="14"/>
  <c r="M187" i="14" s="1"/>
  <c r="P186" i="14" l="1"/>
  <c r="Q186" i="14"/>
  <c r="N187" i="14"/>
  <c r="E187" i="14" s="1"/>
  <c r="F187" i="14" s="1"/>
  <c r="K188" i="14"/>
  <c r="M188" i="14" s="1"/>
  <c r="Q187" i="14" l="1"/>
  <c r="P187" i="14"/>
  <c r="N188" i="14"/>
  <c r="E188" i="14" s="1"/>
  <c r="F188" i="14" s="1"/>
  <c r="K189" i="14"/>
  <c r="M189" i="14" s="1"/>
  <c r="P188" i="14" l="1"/>
  <c r="Q188" i="14"/>
  <c r="N189" i="14"/>
  <c r="E189" i="14" s="1"/>
  <c r="F189" i="14" s="1"/>
  <c r="K190" i="14"/>
  <c r="M190" i="14" s="1"/>
  <c r="Q189" i="14" l="1"/>
  <c r="P189" i="14"/>
  <c r="N190" i="14"/>
  <c r="E190" i="14" s="1"/>
  <c r="F190" i="14" s="1"/>
  <c r="K191" i="14"/>
  <c r="M191" i="14" s="1"/>
  <c r="P190" i="14" l="1"/>
  <c r="Q190" i="14"/>
  <c r="N191" i="14"/>
  <c r="E191" i="14" s="1"/>
  <c r="F191" i="14" s="1"/>
  <c r="K192" i="14"/>
  <c r="M192" i="14" s="1"/>
  <c r="Q191" i="14" l="1"/>
  <c r="P191" i="14"/>
  <c r="N192" i="14"/>
  <c r="E192" i="14" s="1"/>
  <c r="F192" i="14" s="1"/>
  <c r="K193" i="14"/>
  <c r="M193" i="14" s="1"/>
  <c r="P192" i="14" l="1"/>
  <c r="Q192" i="14"/>
  <c r="N193" i="14"/>
  <c r="E193" i="14" s="1"/>
  <c r="F193" i="14" s="1"/>
  <c r="K194" i="14"/>
  <c r="M194" i="14" s="1"/>
  <c r="Q193" i="14" l="1"/>
  <c r="P193" i="14"/>
  <c r="N194" i="14"/>
  <c r="E194" i="14" s="1"/>
  <c r="F194" i="14" s="1"/>
  <c r="K195" i="14"/>
  <c r="M195" i="14" s="1"/>
  <c r="P194" i="14" l="1"/>
  <c r="Q194" i="14"/>
  <c r="N195" i="14"/>
  <c r="E195" i="14" s="1"/>
  <c r="F195" i="14" s="1"/>
  <c r="K196" i="14"/>
  <c r="M196" i="14" s="1"/>
  <c r="Q195" i="14" l="1"/>
  <c r="P195" i="14"/>
  <c r="N196" i="14"/>
  <c r="E196" i="14" s="1"/>
  <c r="F196" i="14" s="1"/>
  <c r="K197" i="14"/>
  <c r="M197" i="14" s="1"/>
  <c r="P196" i="14" l="1"/>
  <c r="Q196" i="14"/>
  <c r="N197" i="14"/>
  <c r="E197" i="14" s="1"/>
  <c r="F197" i="14" s="1"/>
  <c r="K198" i="14"/>
  <c r="M198" i="14" s="1"/>
  <c r="Q197" i="14" l="1"/>
  <c r="P197" i="14"/>
  <c r="N198" i="14"/>
  <c r="E198" i="14" s="1"/>
  <c r="F198" i="14" s="1"/>
  <c r="K199" i="14"/>
  <c r="M199" i="14" s="1"/>
  <c r="P198" i="14" l="1"/>
  <c r="Q198" i="14"/>
  <c r="N199" i="14"/>
  <c r="E199" i="14" s="1"/>
  <c r="F199" i="14" s="1"/>
  <c r="K200" i="14"/>
  <c r="M200" i="14" s="1"/>
  <c r="Q199" i="14" l="1"/>
  <c r="P199" i="14"/>
  <c r="N200" i="14"/>
  <c r="E200" i="14" s="1"/>
  <c r="F200" i="14" s="1"/>
  <c r="K201" i="14"/>
  <c r="M201" i="14" s="1"/>
  <c r="P200" i="14" l="1"/>
  <c r="Q200" i="14"/>
  <c r="N201" i="14"/>
  <c r="E201" i="14" s="1"/>
  <c r="F201" i="14" s="1"/>
  <c r="K202" i="14"/>
  <c r="M202" i="14" s="1"/>
  <c r="Q201" i="14" l="1"/>
  <c r="P201" i="14"/>
  <c r="N202" i="14"/>
  <c r="E202" i="14" s="1"/>
  <c r="F202" i="14" s="1"/>
  <c r="K203" i="14"/>
  <c r="M203" i="14" s="1"/>
  <c r="P202" i="14" l="1"/>
  <c r="Q202" i="14"/>
  <c r="N203" i="14"/>
  <c r="E203" i="14" s="1"/>
  <c r="F203" i="14" s="1"/>
  <c r="K204" i="14"/>
  <c r="M204" i="14" s="1"/>
  <c r="Q203" i="14" l="1"/>
  <c r="P203" i="14"/>
  <c r="N204" i="14"/>
  <c r="E204" i="14" s="1"/>
  <c r="F204" i="14" s="1"/>
  <c r="K205" i="14"/>
  <c r="M205" i="14" s="1"/>
  <c r="P204" i="14" l="1"/>
  <c r="Q204" i="14"/>
  <c r="N205" i="14"/>
  <c r="E205" i="14" s="1"/>
  <c r="F205" i="14" s="1"/>
  <c r="K206" i="14"/>
  <c r="M206" i="14" s="1"/>
  <c r="Q205" i="14" l="1"/>
  <c r="P205" i="14"/>
  <c r="N206" i="14"/>
  <c r="E206" i="14" s="1"/>
  <c r="F206" i="14" s="1"/>
  <c r="K207" i="14"/>
  <c r="M207" i="14" s="1"/>
  <c r="P206" i="14" l="1"/>
  <c r="Q206" i="14"/>
  <c r="N207" i="14"/>
  <c r="E207" i="14" s="1"/>
  <c r="F207" i="14" s="1"/>
  <c r="K208" i="14"/>
  <c r="M208" i="14" s="1"/>
  <c r="Q207" i="14" l="1"/>
  <c r="P207" i="14"/>
  <c r="N208" i="14"/>
  <c r="E208" i="14" s="1"/>
  <c r="F208" i="14" s="1"/>
  <c r="K209" i="14"/>
  <c r="M209" i="14" s="1"/>
  <c r="P208" i="14" l="1"/>
  <c r="Q208" i="14"/>
  <c r="N209" i="14"/>
  <c r="E209" i="14" s="1"/>
  <c r="F209" i="14" s="1"/>
  <c r="K210" i="14"/>
  <c r="M210" i="14" s="1"/>
  <c r="Q209" i="14" l="1"/>
  <c r="P209" i="14"/>
  <c r="N210" i="14"/>
  <c r="E210" i="14" s="1"/>
  <c r="F210" i="14" s="1"/>
  <c r="K211" i="14"/>
  <c r="M211" i="14" s="1"/>
  <c r="P210" i="14" l="1"/>
  <c r="Q210" i="14"/>
  <c r="N211" i="14"/>
  <c r="E211" i="14" s="1"/>
  <c r="F211" i="14" s="1"/>
  <c r="K212" i="14"/>
  <c r="M212" i="14" s="1"/>
  <c r="Q211" i="14" l="1"/>
  <c r="P211" i="14"/>
  <c r="N212" i="14"/>
  <c r="E212" i="14" s="1"/>
  <c r="F212" i="14" s="1"/>
  <c r="K213" i="14"/>
  <c r="M213" i="14" s="1"/>
  <c r="P212" i="14" l="1"/>
  <c r="Q212" i="14"/>
  <c r="N213" i="14"/>
  <c r="E213" i="14" s="1"/>
  <c r="F213" i="14" s="1"/>
  <c r="K214" i="14"/>
  <c r="M214" i="14" s="1"/>
  <c r="Q213" i="14" l="1"/>
  <c r="P213" i="14"/>
  <c r="N214" i="14"/>
  <c r="E214" i="14" s="1"/>
  <c r="F214" i="14" s="1"/>
  <c r="K215" i="14"/>
  <c r="M215" i="14" s="1"/>
  <c r="P214" i="14" l="1"/>
  <c r="Q214" i="14"/>
  <c r="N215" i="14"/>
  <c r="E215" i="14" s="1"/>
  <c r="F215" i="14" s="1"/>
  <c r="K216" i="14"/>
  <c r="M216" i="14" s="1"/>
  <c r="Q215" i="14" l="1"/>
  <c r="P215" i="14"/>
  <c r="N216" i="14"/>
  <c r="E216" i="14" s="1"/>
  <c r="F216" i="14" s="1"/>
  <c r="K217" i="14"/>
  <c r="M217" i="14" s="1"/>
  <c r="P216" i="14" l="1"/>
  <c r="Q216" i="14"/>
  <c r="N217" i="14"/>
  <c r="E217" i="14" s="1"/>
  <c r="F217" i="14" s="1"/>
  <c r="K218" i="14"/>
  <c r="M218" i="14" s="1"/>
  <c r="Q217" i="14" l="1"/>
  <c r="P217" i="14"/>
  <c r="N218" i="14"/>
  <c r="E218" i="14" s="1"/>
  <c r="F218" i="14" s="1"/>
  <c r="K219" i="14"/>
  <c r="M219" i="14" s="1"/>
  <c r="P218" i="14" l="1"/>
  <c r="Q218" i="14"/>
  <c r="N219" i="14"/>
  <c r="E219" i="14" s="1"/>
  <c r="F219" i="14" s="1"/>
  <c r="K220" i="14"/>
  <c r="M220" i="14" s="1"/>
  <c r="Q219" i="14" l="1"/>
  <c r="P219" i="14"/>
  <c r="N220" i="14"/>
  <c r="E220" i="14" s="1"/>
  <c r="F220" i="14" s="1"/>
  <c r="K221" i="14"/>
  <c r="M221" i="14" s="1"/>
  <c r="P220" i="14" l="1"/>
  <c r="Q220" i="14"/>
  <c r="N221" i="14"/>
  <c r="E221" i="14" s="1"/>
  <c r="F221" i="14" s="1"/>
  <c r="K222" i="14"/>
  <c r="M222" i="14" s="1"/>
  <c r="Q221" i="14" l="1"/>
  <c r="P221" i="14"/>
  <c r="N222" i="14"/>
  <c r="E222" i="14" s="1"/>
  <c r="F222" i="14" s="1"/>
  <c r="K223" i="14"/>
  <c r="M223" i="14" s="1"/>
  <c r="P222" i="14" l="1"/>
  <c r="Q222" i="14"/>
  <c r="N223" i="14"/>
  <c r="E223" i="14" s="1"/>
  <c r="F223" i="14" s="1"/>
  <c r="K224" i="14"/>
  <c r="M224" i="14" s="1"/>
  <c r="Q223" i="14" l="1"/>
  <c r="P223" i="14"/>
  <c r="N224" i="14"/>
  <c r="E224" i="14" s="1"/>
  <c r="F224" i="14" s="1"/>
  <c r="K225" i="14"/>
  <c r="M225" i="14" s="1"/>
  <c r="P224" i="14" l="1"/>
  <c r="Q224" i="14"/>
  <c r="N225" i="14"/>
  <c r="E225" i="14" s="1"/>
  <c r="F225" i="14" s="1"/>
  <c r="K226" i="14"/>
  <c r="M226" i="14" s="1"/>
  <c r="Q225" i="14" l="1"/>
  <c r="P225" i="14"/>
  <c r="N226" i="14"/>
  <c r="E226" i="14" s="1"/>
  <c r="F226" i="14" s="1"/>
  <c r="K227" i="14"/>
  <c r="M227" i="14" s="1"/>
  <c r="P226" i="14" l="1"/>
  <c r="Q226" i="14"/>
  <c r="N227" i="14"/>
  <c r="E227" i="14" s="1"/>
  <c r="F227" i="14" s="1"/>
  <c r="K228" i="14"/>
  <c r="M228" i="14" s="1"/>
  <c r="Q227" i="14" l="1"/>
  <c r="P227" i="14"/>
  <c r="N228" i="14"/>
  <c r="E228" i="14" s="1"/>
  <c r="F228" i="14" s="1"/>
  <c r="K229" i="14"/>
  <c r="M229" i="14" s="1"/>
  <c r="P228" i="14" l="1"/>
  <c r="Q228" i="14"/>
  <c r="N229" i="14"/>
  <c r="E229" i="14" s="1"/>
  <c r="F229" i="14" s="1"/>
  <c r="K230" i="14"/>
  <c r="M230" i="14" s="1"/>
  <c r="Q229" i="14" l="1"/>
  <c r="P229" i="14"/>
  <c r="N230" i="14"/>
  <c r="E230" i="14" s="1"/>
  <c r="F230" i="14" s="1"/>
  <c r="K231" i="14"/>
  <c r="M231" i="14" s="1"/>
  <c r="P230" i="14" l="1"/>
  <c r="Q230" i="14"/>
  <c r="N231" i="14"/>
  <c r="E231" i="14" s="1"/>
  <c r="F231" i="14" s="1"/>
  <c r="K232" i="14"/>
  <c r="M232" i="14" s="1"/>
  <c r="D2" i="8"/>
  <c r="N2" i="8" s="1"/>
  <c r="D3" i="8"/>
  <c r="N3" i="8" s="1"/>
  <c r="D4" i="8"/>
  <c r="N4" i="8" s="1"/>
  <c r="D5" i="8"/>
  <c r="N5" i="8" s="1"/>
  <c r="D6" i="8"/>
  <c r="N6" i="8" s="1"/>
  <c r="D7" i="8"/>
  <c r="N7" i="8" s="1"/>
  <c r="D8" i="8"/>
  <c r="N8" i="8" s="1"/>
  <c r="D9" i="8"/>
  <c r="N9" i="8" s="1"/>
  <c r="D10" i="8"/>
  <c r="N10" i="8" s="1"/>
  <c r="D11" i="8"/>
  <c r="N11" i="8" s="1"/>
  <c r="D12" i="8"/>
  <c r="N12" i="8" s="1"/>
  <c r="D13" i="8"/>
  <c r="N13" i="8" s="1"/>
  <c r="D14" i="8"/>
  <c r="N14" i="8" s="1"/>
  <c r="D15" i="8"/>
  <c r="N15" i="8" s="1"/>
  <c r="D16" i="8"/>
  <c r="N16" i="8" s="1"/>
  <c r="D17" i="8"/>
  <c r="N17" i="8" s="1"/>
  <c r="D18" i="8"/>
  <c r="N18" i="8" s="1"/>
  <c r="D19" i="8"/>
  <c r="N19" i="8" s="1"/>
  <c r="D20" i="8"/>
  <c r="N20" i="8" s="1"/>
  <c r="D21" i="8"/>
  <c r="N21" i="8" s="1"/>
  <c r="D22" i="8"/>
  <c r="N22" i="8" s="1"/>
  <c r="D23" i="8"/>
  <c r="N23" i="8" s="1"/>
  <c r="D24" i="8"/>
  <c r="N24" i="8" s="1"/>
  <c r="D25" i="8"/>
  <c r="N25" i="8" s="1"/>
  <c r="D26" i="8"/>
  <c r="N26" i="8" s="1"/>
  <c r="D27" i="8"/>
  <c r="N27" i="8" s="1"/>
  <c r="D28" i="8"/>
  <c r="N28" i="8" s="1"/>
  <c r="D29" i="8"/>
  <c r="N29" i="8" s="1"/>
  <c r="D30" i="8"/>
  <c r="N30" i="8" s="1"/>
  <c r="D31" i="8"/>
  <c r="N31" i="8" s="1"/>
  <c r="D32" i="8"/>
  <c r="N32" i="8" s="1"/>
  <c r="D33" i="8"/>
  <c r="N33" i="8" s="1"/>
  <c r="D34" i="8"/>
  <c r="N34" i="8" s="1"/>
  <c r="D35" i="8"/>
  <c r="N35" i="8" s="1"/>
  <c r="D36" i="8"/>
  <c r="N36" i="8" s="1"/>
  <c r="D37" i="8"/>
  <c r="N37" i="8" s="1"/>
  <c r="D38" i="8"/>
  <c r="N38" i="8" s="1"/>
  <c r="D39" i="8"/>
  <c r="N39" i="8" s="1"/>
  <c r="D40" i="8"/>
  <c r="N40" i="8" s="1"/>
  <c r="D41" i="8"/>
  <c r="N41" i="8" s="1"/>
  <c r="D42" i="8"/>
  <c r="N42" i="8" s="1"/>
  <c r="D43" i="8"/>
  <c r="N43" i="8" s="1"/>
  <c r="D44" i="8"/>
  <c r="N44" i="8" s="1"/>
  <c r="D45" i="8"/>
  <c r="N45" i="8" s="1"/>
  <c r="D46" i="8"/>
  <c r="N46" i="8" s="1"/>
  <c r="D47" i="8"/>
  <c r="N47" i="8" s="1"/>
  <c r="D48" i="8"/>
  <c r="N48" i="8" s="1"/>
  <c r="D49" i="8"/>
  <c r="N49" i="8" s="1"/>
  <c r="D50" i="8"/>
  <c r="N50" i="8" s="1"/>
  <c r="D51" i="8"/>
  <c r="N51" i="8" s="1"/>
  <c r="D52" i="8"/>
  <c r="N52" i="8" s="1"/>
  <c r="D53" i="8"/>
  <c r="N53" i="8" s="1"/>
  <c r="D54" i="8"/>
  <c r="N54" i="8" s="1"/>
  <c r="D55" i="8"/>
  <c r="N55" i="8" s="1"/>
  <c r="D56" i="8"/>
  <c r="N56" i="8" s="1"/>
  <c r="D57" i="8"/>
  <c r="N57" i="8" s="1"/>
  <c r="D58" i="8"/>
  <c r="N58" i="8" s="1"/>
  <c r="D59" i="8"/>
  <c r="N59" i="8" s="1"/>
  <c r="D60" i="8"/>
  <c r="N60" i="8" s="1"/>
  <c r="D61" i="8"/>
  <c r="N61" i="8" s="1"/>
  <c r="D62" i="8"/>
  <c r="N62" i="8" s="1"/>
  <c r="D63" i="8"/>
  <c r="N63" i="8" s="1"/>
  <c r="D64" i="8"/>
  <c r="N64" i="8" s="1"/>
  <c r="D65" i="8"/>
  <c r="N65" i="8" s="1"/>
  <c r="Q231" i="14" l="1"/>
  <c r="P231" i="14"/>
  <c r="N232" i="14"/>
  <c r="E232" i="14" s="1"/>
  <c r="F232" i="14" s="1"/>
  <c r="T5" i="8"/>
  <c r="K233" i="14"/>
  <c r="M233" i="14" s="1"/>
  <c r="G60" i="8"/>
  <c r="H60" i="8" s="1"/>
  <c r="G48" i="8"/>
  <c r="H48" i="8" s="1"/>
  <c r="M43" i="8"/>
  <c r="G42" i="8"/>
  <c r="H42" i="8" s="1"/>
  <c r="G36" i="8"/>
  <c r="H36" i="8" s="1"/>
  <c r="G30" i="8"/>
  <c r="H30" i="8" s="1"/>
  <c r="AA30" i="8" s="1"/>
  <c r="M25" i="8"/>
  <c r="G24" i="8"/>
  <c r="H24" i="8" s="1"/>
  <c r="G18" i="8"/>
  <c r="H18" i="8" s="1"/>
  <c r="G12" i="8"/>
  <c r="H12" i="8" s="1"/>
  <c r="M7" i="8"/>
  <c r="G6" i="8"/>
  <c r="H6" i="8" s="1"/>
  <c r="G54" i="8"/>
  <c r="H54" i="8" s="1"/>
  <c r="G53" i="8"/>
  <c r="H53" i="8" s="1"/>
  <c r="M35" i="8"/>
  <c r="G35" i="8"/>
  <c r="H35" i="8" s="1"/>
  <c r="G23" i="8"/>
  <c r="H23" i="8" s="1"/>
  <c r="G17" i="8"/>
  <c r="H17" i="8" s="1"/>
  <c r="Y11" i="8"/>
  <c r="G11" i="8"/>
  <c r="H11" i="8" s="1"/>
  <c r="G5" i="8"/>
  <c r="G64" i="8"/>
  <c r="H64" i="8" s="1"/>
  <c r="Y58" i="8"/>
  <c r="G58" i="8"/>
  <c r="H58" i="8" s="1"/>
  <c r="G40" i="8"/>
  <c r="H40" i="8" s="1"/>
  <c r="G22" i="8"/>
  <c r="H22" i="8" s="1"/>
  <c r="Y4" i="8"/>
  <c r="G4" i="8"/>
  <c r="H4" i="8" s="1"/>
  <c r="G57" i="8"/>
  <c r="H57" i="8" s="1"/>
  <c r="G51" i="8"/>
  <c r="H51" i="8" s="1"/>
  <c r="AA51" i="8" s="1"/>
  <c r="M46" i="8"/>
  <c r="G45" i="8"/>
  <c r="H45" i="8" s="1"/>
  <c r="G39" i="8"/>
  <c r="H39" i="8" s="1"/>
  <c r="G33" i="8"/>
  <c r="H33" i="8" s="1"/>
  <c r="M27" i="8"/>
  <c r="G27" i="8"/>
  <c r="H27" i="8" s="1"/>
  <c r="G21" i="8"/>
  <c r="H21" i="8" s="1"/>
  <c r="G15" i="8"/>
  <c r="H15" i="8" s="1"/>
  <c r="M10" i="8"/>
  <c r="G9" i="8"/>
  <c r="H9" i="8" s="1"/>
  <c r="G3" i="8"/>
  <c r="H3" i="8" s="1"/>
  <c r="G59" i="8"/>
  <c r="H59" i="8" s="1"/>
  <c r="G41" i="8"/>
  <c r="H41" i="8" s="1"/>
  <c r="G29" i="8"/>
  <c r="H29" i="8" s="1"/>
  <c r="G46" i="8"/>
  <c r="H46" i="8" s="1"/>
  <c r="M28" i="8"/>
  <c r="G28" i="8"/>
  <c r="H28" i="8" s="1"/>
  <c r="G10" i="8"/>
  <c r="H10" i="8" s="1"/>
  <c r="G62" i="8"/>
  <c r="H62" i="8" s="1"/>
  <c r="Y56" i="8"/>
  <c r="G56" i="8"/>
  <c r="H56" i="8" s="1"/>
  <c r="G50" i="8"/>
  <c r="H50" i="8" s="1"/>
  <c r="G44" i="8"/>
  <c r="H44" i="8" s="1"/>
  <c r="Y38" i="8"/>
  <c r="G38" i="8"/>
  <c r="H38" i="8" s="1"/>
  <c r="G32" i="8"/>
  <c r="H32" i="8" s="1"/>
  <c r="G26" i="8"/>
  <c r="H26" i="8" s="1"/>
  <c r="Y20" i="8"/>
  <c r="G20" i="8"/>
  <c r="H20" i="8" s="1"/>
  <c r="G14" i="8"/>
  <c r="H14" i="8" s="1"/>
  <c r="G8" i="8"/>
  <c r="Y2" i="8"/>
  <c r="G2" i="8"/>
  <c r="H2" i="8" s="1"/>
  <c r="G65" i="8"/>
  <c r="H65" i="8" s="1"/>
  <c r="G47" i="8"/>
  <c r="H47" i="8" s="1"/>
  <c r="M53" i="8"/>
  <c r="G52" i="8"/>
  <c r="H52" i="8" s="1"/>
  <c r="G34" i="8"/>
  <c r="H34" i="8" s="1"/>
  <c r="G16" i="8"/>
  <c r="H16" i="8" s="1"/>
  <c r="M64" i="8"/>
  <c r="G63" i="8"/>
  <c r="H63" i="8" s="1"/>
  <c r="G61" i="8"/>
  <c r="H61" i="8" s="1"/>
  <c r="G55" i="8"/>
  <c r="H55" i="8" s="1"/>
  <c r="M50" i="8"/>
  <c r="G49" i="8"/>
  <c r="H49" i="8" s="1"/>
  <c r="G43" i="8"/>
  <c r="H43" i="8" s="1"/>
  <c r="G37" i="8"/>
  <c r="H37" i="8" s="1"/>
  <c r="M32" i="8"/>
  <c r="G31" i="8"/>
  <c r="H31" i="8" s="1"/>
  <c r="G25" i="8"/>
  <c r="H25" i="8" s="1"/>
  <c r="G19" i="8"/>
  <c r="H19" i="8" s="1"/>
  <c r="M14" i="8"/>
  <c r="G13" i="8"/>
  <c r="H13" i="8" s="1"/>
  <c r="G7" i="8"/>
  <c r="H7" i="8" s="1"/>
  <c r="Y47" i="8"/>
  <c r="M47" i="8"/>
  <c r="Y17" i="8"/>
  <c r="M17" i="8"/>
  <c r="Y62" i="8"/>
  <c r="M62" i="8"/>
  <c r="M60" i="8"/>
  <c r="Y60" i="8"/>
  <c r="M54" i="8"/>
  <c r="Y54" i="8"/>
  <c r="Y48" i="8"/>
  <c r="M48" i="8"/>
  <c r="M36" i="8"/>
  <c r="Y36" i="8"/>
  <c r="Y30" i="8"/>
  <c r="M30" i="8"/>
  <c r="Y18" i="8"/>
  <c r="M18" i="8"/>
  <c r="Y12" i="8"/>
  <c r="M41" i="8"/>
  <c r="Y41" i="8"/>
  <c r="M52" i="8"/>
  <c r="Y52" i="8"/>
  <c r="Y46" i="8"/>
  <c r="M40" i="8"/>
  <c r="Y40" i="8"/>
  <c r="M34" i="8"/>
  <c r="Y34" i="8"/>
  <c r="M22" i="8"/>
  <c r="Y22" i="8"/>
  <c r="M16" i="8"/>
  <c r="Y16" i="8"/>
  <c r="Y10" i="8"/>
  <c r="Y59" i="8"/>
  <c r="M59" i="8"/>
  <c r="Y29" i="8"/>
  <c r="Y64" i="8"/>
  <c r="Y57" i="8"/>
  <c r="M57" i="8"/>
  <c r="Y51" i="8"/>
  <c r="M51" i="8"/>
  <c r="Y39" i="8"/>
  <c r="M39" i="8"/>
  <c r="Y33" i="8"/>
  <c r="M33" i="8"/>
  <c r="Y21" i="8"/>
  <c r="M21" i="8"/>
  <c r="Y15" i="8"/>
  <c r="M15" i="8"/>
  <c r="Y3" i="8"/>
  <c r="M3" i="8"/>
  <c r="Y53" i="8"/>
  <c r="Y23" i="8"/>
  <c r="M23" i="8"/>
  <c r="Y63" i="8"/>
  <c r="M63" i="8"/>
  <c r="Y50" i="8"/>
  <c r="Y44" i="8"/>
  <c r="M44" i="8"/>
  <c r="Y32" i="8"/>
  <c r="Y26" i="8"/>
  <c r="M26" i="8"/>
  <c r="Y14" i="8"/>
  <c r="Y8" i="8"/>
  <c r="M8" i="8"/>
  <c r="Y65" i="8"/>
  <c r="M65" i="8"/>
  <c r="Y5" i="8"/>
  <c r="M5" i="8"/>
  <c r="Y61" i="8"/>
  <c r="M61" i="8"/>
  <c r="M55" i="8"/>
  <c r="Y55" i="8"/>
  <c r="M49" i="8"/>
  <c r="Y49" i="8"/>
  <c r="Y43" i="8"/>
  <c r="M37" i="8"/>
  <c r="Y37" i="8"/>
  <c r="M31" i="8"/>
  <c r="Y31" i="8"/>
  <c r="Y25" i="8"/>
  <c r="Y19" i="8"/>
  <c r="M19" i="8"/>
  <c r="M13" i="8"/>
  <c r="Y13" i="8"/>
  <c r="Y7" i="8"/>
  <c r="F3" i="8"/>
  <c r="F4" i="8"/>
  <c r="F5" i="8"/>
  <c r="F6" i="8"/>
  <c r="F7" i="8"/>
  <c r="F8" i="8"/>
  <c r="F9" i="8"/>
  <c r="F10" i="8"/>
  <c r="F11" i="8"/>
  <c r="F12" i="8"/>
  <c r="F13" i="8"/>
  <c r="F14" i="8"/>
  <c r="F15" i="8"/>
  <c r="F16" i="8"/>
  <c r="F17" i="8"/>
  <c r="F18" i="8"/>
  <c r="F19" i="8"/>
  <c r="F20" i="8"/>
  <c r="F21" i="8"/>
  <c r="F22" i="8"/>
  <c r="F23" i="8"/>
  <c r="F24" i="8"/>
  <c r="F25" i="8"/>
  <c r="F26" i="8"/>
  <c r="F27" i="8"/>
  <c r="F28" i="8"/>
  <c r="F29" i="8"/>
  <c r="F30" i="8"/>
  <c r="F31" i="8"/>
  <c r="F32" i="8"/>
  <c r="F33" i="8"/>
  <c r="F34" i="8"/>
  <c r="F35" i="8"/>
  <c r="F36" i="8"/>
  <c r="F37" i="8"/>
  <c r="F38" i="8"/>
  <c r="F39" i="8"/>
  <c r="F40" i="8"/>
  <c r="F41" i="8"/>
  <c r="F42" i="8"/>
  <c r="F43" i="8"/>
  <c r="F44" i="8"/>
  <c r="F45" i="8"/>
  <c r="F46" i="8"/>
  <c r="F47" i="8"/>
  <c r="F48" i="8"/>
  <c r="F49" i="8"/>
  <c r="F50" i="8"/>
  <c r="F51" i="8"/>
  <c r="F52" i="8"/>
  <c r="F53" i="8"/>
  <c r="F54" i="8"/>
  <c r="F55" i="8"/>
  <c r="F56" i="8"/>
  <c r="F57" i="8"/>
  <c r="F58" i="8"/>
  <c r="F59" i="8"/>
  <c r="F60" i="8"/>
  <c r="F61" i="8"/>
  <c r="F62" i="8"/>
  <c r="F63" i="8"/>
  <c r="F64" i="8"/>
  <c r="F65" i="8"/>
  <c r="P232" i="14" l="1"/>
  <c r="Q232" i="14"/>
  <c r="N233" i="14"/>
  <c r="E233" i="14" s="1"/>
  <c r="F233" i="14" s="1"/>
  <c r="Z13" i="8"/>
  <c r="H5" i="8"/>
  <c r="AA5" i="8" s="1"/>
  <c r="H8" i="8"/>
  <c r="AA8" i="8" s="1"/>
  <c r="Z48" i="8"/>
  <c r="V2" i="8"/>
  <c r="G67" i="8"/>
  <c r="Z3" i="8"/>
  <c r="AA48" i="8"/>
  <c r="AA24" i="8"/>
  <c r="AA38" i="8"/>
  <c r="AA21" i="8"/>
  <c r="AA54" i="8"/>
  <c r="AA10" i="8"/>
  <c r="Z18" i="8"/>
  <c r="I28" i="8"/>
  <c r="Z31" i="8"/>
  <c r="I22" i="8"/>
  <c r="I52" i="8"/>
  <c r="I41" i="8"/>
  <c r="AA13" i="8"/>
  <c r="I13" i="8"/>
  <c r="AA20" i="8"/>
  <c r="I20" i="8"/>
  <c r="AA57" i="8"/>
  <c r="I57" i="8"/>
  <c r="AA23" i="8"/>
  <c r="I23" i="8"/>
  <c r="AA65" i="8"/>
  <c r="I65" i="8"/>
  <c r="AA50" i="8"/>
  <c r="I50" i="8"/>
  <c r="AA9" i="8"/>
  <c r="I9" i="8"/>
  <c r="AA33" i="8"/>
  <c r="I33" i="8"/>
  <c r="AA4" i="8"/>
  <c r="I4" i="8"/>
  <c r="I64" i="8"/>
  <c r="AA35" i="8"/>
  <c r="I35" i="8"/>
  <c r="AA12" i="8"/>
  <c r="I12" i="8"/>
  <c r="AA42" i="8"/>
  <c r="I42" i="8"/>
  <c r="AA47" i="8"/>
  <c r="I47" i="8"/>
  <c r="AA3" i="8"/>
  <c r="I3" i="8"/>
  <c r="J3" i="8" s="1"/>
  <c r="AA36" i="8"/>
  <c r="I36" i="8"/>
  <c r="AA43" i="8"/>
  <c r="I43" i="8"/>
  <c r="AA19" i="8"/>
  <c r="I19" i="8"/>
  <c r="AA49" i="8"/>
  <c r="I49" i="8"/>
  <c r="AA16" i="8"/>
  <c r="I16" i="8"/>
  <c r="AA26" i="8"/>
  <c r="I26" i="8"/>
  <c r="AA56" i="8"/>
  <c r="I56" i="8"/>
  <c r="AA46" i="8"/>
  <c r="I46" i="8"/>
  <c r="AA39" i="8"/>
  <c r="I39" i="8"/>
  <c r="I5" i="8"/>
  <c r="AA18" i="8"/>
  <c r="I18" i="8"/>
  <c r="AA29" i="8"/>
  <c r="AF30" i="8" s="1"/>
  <c r="I29" i="8"/>
  <c r="AA15" i="8"/>
  <c r="I15" i="8"/>
  <c r="AA45" i="8"/>
  <c r="I45" i="8"/>
  <c r="AA11" i="8"/>
  <c r="I11" i="8"/>
  <c r="AA53" i="8"/>
  <c r="I53" i="8"/>
  <c r="I24" i="8"/>
  <c r="I48" i="8"/>
  <c r="AA37" i="8"/>
  <c r="I37" i="8"/>
  <c r="AA44" i="8"/>
  <c r="I44" i="8"/>
  <c r="AA25" i="8"/>
  <c r="I25" i="8"/>
  <c r="AA32" i="8"/>
  <c r="I32" i="8"/>
  <c r="AA31" i="8"/>
  <c r="AF31" i="8" s="1"/>
  <c r="I31" i="8"/>
  <c r="AA55" i="8"/>
  <c r="I55" i="8"/>
  <c r="I8" i="8"/>
  <c r="I38" i="8"/>
  <c r="I62" i="8"/>
  <c r="I21" i="8"/>
  <c r="AA40" i="8"/>
  <c r="I40" i="8"/>
  <c r="I54" i="8"/>
  <c r="I60" i="8"/>
  <c r="AA63" i="8"/>
  <c r="I63" i="8"/>
  <c r="AA34" i="8"/>
  <c r="I34" i="8"/>
  <c r="AA7" i="8"/>
  <c r="I7" i="8"/>
  <c r="AA61" i="8"/>
  <c r="I61" i="8"/>
  <c r="AA14" i="8"/>
  <c r="I14" i="8"/>
  <c r="I10" i="8"/>
  <c r="AA59" i="8"/>
  <c r="I59" i="8"/>
  <c r="AA27" i="8"/>
  <c r="I27" i="8"/>
  <c r="I51" i="8"/>
  <c r="AA58" i="8"/>
  <c r="I58" i="8"/>
  <c r="AA17" i="8"/>
  <c r="I17" i="8"/>
  <c r="AA6" i="8"/>
  <c r="I6" i="8"/>
  <c r="I30" i="8"/>
  <c r="Z52" i="8"/>
  <c r="K234" i="14"/>
  <c r="M234" i="14" s="1"/>
  <c r="Z41" i="8"/>
  <c r="Z8" i="8"/>
  <c r="Z34" i="8"/>
  <c r="Z54" i="8"/>
  <c r="Z20" i="8"/>
  <c r="Z49" i="8"/>
  <c r="Z16" i="8"/>
  <c r="Z56" i="8"/>
  <c r="Z38" i="8"/>
  <c r="Z26" i="8"/>
  <c r="Z63" i="8"/>
  <c r="Z11" i="8"/>
  <c r="Z19" i="8"/>
  <c r="Y35" i="8"/>
  <c r="Z36" i="8" s="1"/>
  <c r="Z23" i="8"/>
  <c r="Y9" i="8"/>
  <c r="Z10" i="8" s="1"/>
  <c r="Y27" i="8"/>
  <c r="Z27" i="8" s="1"/>
  <c r="Y45" i="8"/>
  <c r="Z45" i="8" s="1"/>
  <c r="M4" i="8"/>
  <c r="M58" i="8"/>
  <c r="Y6" i="8"/>
  <c r="Z6" i="8" s="1"/>
  <c r="Y24" i="8"/>
  <c r="Z25" i="8" s="1"/>
  <c r="Y42" i="8"/>
  <c r="Z43" i="8" s="1"/>
  <c r="Z47" i="8"/>
  <c r="Z5" i="8"/>
  <c r="Z59" i="8"/>
  <c r="M9" i="8"/>
  <c r="M45" i="8"/>
  <c r="M6" i="8"/>
  <c r="M24" i="8"/>
  <c r="M42" i="8"/>
  <c r="M56" i="8"/>
  <c r="Y28" i="8"/>
  <c r="Z29" i="8" s="1"/>
  <c r="M20" i="8"/>
  <c r="M38" i="8"/>
  <c r="M29" i="8"/>
  <c r="M11" i="8"/>
  <c r="M12" i="8"/>
  <c r="Z61" i="8"/>
  <c r="Z65" i="8"/>
  <c r="Z15" i="8"/>
  <c r="Z33" i="8"/>
  <c r="Z51" i="8"/>
  <c r="Z53" i="8"/>
  <c r="Z12" i="8"/>
  <c r="Z30" i="8"/>
  <c r="Z62" i="8"/>
  <c r="Z44" i="8"/>
  <c r="Z21" i="8"/>
  <c r="Z39" i="8"/>
  <c r="Z57" i="8"/>
  <c r="Z17" i="8"/>
  <c r="Z37" i="8"/>
  <c r="Z55" i="8"/>
  <c r="Z64" i="8"/>
  <c r="Z4" i="8"/>
  <c r="Z22" i="8"/>
  <c r="Z40" i="8"/>
  <c r="Z58" i="8"/>
  <c r="Z60" i="8"/>
  <c r="Z14" i="8"/>
  <c r="Z32" i="8"/>
  <c r="Z50" i="8"/>
  <c r="AC67" i="8"/>
  <c r="AA62" i="8"/>
  <c r="AA64" i="8"/>
  <c r="AF64" i="8" s="1"/>
  <c r="AA60" i="8"/>
  <c r="AF14" i="8" l="1"/>
  <c r="Q233" i="14"/>
  <c r="P233" i="14"/>
  <c r="N234" i="14"/>
  <c r="E234" i="14" s="1"/>
  <c r="F234" i="14" s="1"/>
  <c r="AF58" i="8"/>
  <c r="AF11" i="8"/>
  <c r="AF32" i="8"/>
  <c r="AF37" i="8"/>
  <c r="AF6" i="8"/>
  <c r="AF55" i="8"/>
  <c r="AF46" i="8"/>
  <c r="AF16" i="8"/>
  <c r="AF24" i="8"/>
  <c r="AF43" i="8"/>
  <c r="AF45" i="8"/>
  <c r="AF9" i="8"/>
  <c r="AF35" i="8"/>
  <c r="AF18" i="8"/>
  <c r="AF40" i="8"/>
  <c r="AF34" i="8"/>
  <c r="AF62" i="8"/>
  <c r="AF59" i="8"/>
  <c r="AF39" i="8"/>
  <c r="AF26" i="8"/>
  <c r="AF19" i="8"/>
  <c r="AF12" i="8"/>
  <c r="AF21" i="8"/>
  <c r="AF60" i="8"/>
  <c r="AF27" i="8"/>
  <c r="AF56" i="8"/>
  <c r="AF49" i="8"/>
  <c r="AF36" i="8"/>
  <c r="AF10" i="8"/>
  <c r="AF8" i="8"/>
  <c r="AF47" i="8"/>
  <c r="AF25" i="8"/>
  <c r="AF13" i="8"/>
  <c r="AF48" i="8"/>
  <c r="AF17" i="8"/>
  <c r="AF61" i="8"/>
  <c r="AF63" i="8"/>
  <c r="AF44" i="8"/>
  <c r="AF15" i="8"/>
  <c r="AF4" i="8"/>
  <c r="AF50" i="8"/>
  <c r="AF57" i="8"/>
  <c r="AF54" i="8"/>
  <c r="AF5" i="8"/>
  <c r="AF7" i="8"/>
  <c r="AF33" i="8"/>
  <c r="AF65" i="8"/>
  <c r="AF20" i="8"/>
  <c r="AF38" i="8"/>
  <c r="AF51" i="8"/>
  <c r="U5" i="8"/>
  <c r="Z35" i="8"/>
  <c r="Y67" i="8"/>
  <c r="AA2" i="8"/>
  <c r="G68" i="8"/>
  <c r="H68" i="8" s="1"/>
  <c r="G71" i="8"/>
  <c r="AA41" i="8"/>
  <c r="AF41" i="8" s="1"/>
  <c r="AA28" i="8"/>
  <c r="AF28" i="8" s="1"/>
  <c r="AA52" i="8"/>
  <c r="AF52" i="8" s="1"/>
  <c r="AA22" i="8"/>
  <c r="AF22" i="8" s="1"/>
  <c r="Z7" i="8"/>
  <c r="K235" i="14"/>
  <c r="M235" i="14" s="1"/>
  <c r="Z46" i="8"/>
  <c r="Z9" i="8"/>
  <c r="Z28" i="8"/>
  <c r="Z42" i="8"/>
  <c r="Z24" i="8"/>
  <c r="J4" i="8"/>
  <c r="J5" i="8" s="1"/>
  <c r="J6" i="8" s="1"/>
  <c r="J7" i="8" s="1"/>
  <c r="J8" i="8" s="1"/>
  <c r="J9" i="8" s="1"/>
  <c r="J10" i="8" s="1"/>
  <c r="J11" i="8" s="1"/>
  <c r="J12" i="8" s="1"/>
  <c r="J13" i="8" s="1"/>
  <c r="J14" i="8" s="1"/>
  <c r="J15" i="8" s="1"/>
  <c r="J16" i="8" s="1"/>
  <c r="J17" i="8" s="1"/>
  <c r="J18" i="8" s="1"/>
  <c r="J19" i="8" s="1"/>
  <c r="J20" i="8" s="1"/>
  <c r="J21" i="8" s="1"/>
  <c r="J22" i="8" s="1"/>
  <c r="J23" i="8" s="1"/>
  <c r="J24" i="8" s="1"/>
  <c r="J25" i="8" s="1"/>
  <c r="J26" i="8" s="1"/>
  <c r="J27" i="8" s="1"/>
  <c r="J28" i="8" s="1"/>
  <c r="J29" i="8" s="1"/>
  <c r="J30" i="8" s="1"/>
  <c r="J31" i="8" s="1"/>
  <c r="J32" i="8" s="1"/>
  <c r="J33" i="8" s="1"/>
  <c r="J34" i="8" s="1"/>
  <c r="J35" i="8" s="1"/>
  <c r="J36" i="8" s="1"/>
  <c r="J37" i="8" s="1"/>
  <c r="J38" i="8" s="1"/>
  <c r="J39" i="8" s="1"/>
  <c r="J40" i="8" s="1"/>
  <c r="J41" i="8" s="1"/>
  <c r="J42" i="8" s="1"/>
  <c r="J43" i="8" s="1"/>
  <c r="J44" i="8" s="1"/>
  <c r="J45" i="8" s="1"/>
  <c r="J46" i="8" s="1"/>
  <c r="J47" i="8" s="1"/>
  <c r="J48" i="8" s="1"/>
  <c r="J49" i="8" s="1"/>
  <c r="J50" i="8" s="1"/>
  <c r="J51" i="8" s="1"/>
  <c r="J52" i="8" s="1"/>
  <c r="J53" i="8" s="1"/>
  <c r="J54" i="8" s="1"/>
  <c r="J55" i="8" s="1"/>
  <c r="J56" i="8" s="1"/>
  <c r="J57" i="8" s="1"/>
  <c r="J58" i="8" s="1"/>
  <c r="J59" i="8" s="1"/>
  <c r="J60" i="8" s="1"/>
  <c r="J61" i="8" s="1"/>
  <c r="J62" i="8" s="1"/>
  <c r="J63" i="8" s="1"/>
  <c r="J64" i="8" s="1"/>
  <c r="J65" i="8" s="1"/>
  <c r="P234" i="14" l="1"/>
  <c r="Q234" i="14"/>
  <c r="N235" i="14"/>
  <c r="E235" i="14" s="1"/>
  <c r="F235" i="14" s="1"/>
  <c r="AF53" i="8"/>
  <c r="AF29" i="8"/>
  <c r="AF42" i="8"/>
  <c r="AF23" i="8"/>
  <c r="AF3" i="8"/>
  <c r="J67" i="8"/>
  <c r="J68" i="8" s="1"/>
  <c r="K68" i="8" s="1"/>
  <c r="J71" i="8"/>
  <c r="K236" i="14"/>
  <c r="M236" i="14" s="1"/>
  <c r="Q235" i="14" l="1"/>
  <c r="P235" i="14"/>
  <c r="N236" i="14"/>
  <c r="E236" i="14" s="1"/>
  <c r="F236" i="14" s="1"/>
  <c r="AF66" i="8"/>
  <c r="K237" i="14"/>
  <c r="M237" i="14" s="1"/>
  <c r="Q236" i="14" l="1"/>
  <c r="P236" i="14"/>
  <c r="N237" i="14"/>
  <c r="E237" i="14" s="1"/>
  <c r="F237" i="14" s="1"/>
  <c r="K238" i="14"/>
  <c r="M238" i="14" s="1"/>
  <c r="Q237" i="14" l="1"/>
  <c r="P237" i="14"/>
  <c r="N238" i="14"/>
  <c r="E238" i="14" s="1"/>
  <c r="F238" i="14" s="1"/>
  <c r="K239" i="14"/>
  <c r="M239" i="14" s="1"/>
  <c r="P238" i="14" l="1"/>
  <c r="Q238" i="14"/>
  <c r="N239" i="14"/>
  <c r="E239" i="14" s="1"/>
  <c r="F239" i="14" s="1"/>
  <c r="K240" i="14"/>
  <c r="M240" i="14" s="1"/>
  <c r="P239" i="14" l="1"/>
  <c r="Q239" i="14"/>
  <c r="N240" i="14"/>
  <c r="E240" i="14" s="1"/>
  <c r="F240" i="14" s="1"/>
  <c r="Q240" i="14" s="1"/>
  <c r="K241" i="14"/>
  <c r="M241" i="14" s="1"/>
  <c r="N9" i="4"/>
  <c r="O9" i="4" s="1"/>
  <c r="U9" i="4" s="1"/>
  <c r="N10" i="4"/>
  <c r="O10" i="4" s="1"/>
  <c r="U10" i="4" s="1"/>
  <c r="P240" i="14" l="1"/>
  <c r="E241" i="14"/>
  <c r="F241" i="14" s="1"/>
  <c r="Q241" i="14" s="1"/>
  <c r="N241" i="14"/>
  <c r="K242" i="14"/>
  <c r="M242" i="14" s="1"/>
  <c r="N242" i="14" l="1"/>
  <c r="E242" i="14" s="1"/>
  <c r="F242" i="14" s="1"/>
  <c r="Q242" i="14" s="1"/>
  <c r="P241" i="14"/>
  <c r="K243" i="14"/>
  <c r="M243" i="14" s="1"/>
  <c r="J3" i="6"/>
  <c r="J5" i="6"/>
  <c r="N5" i="6" s="1"/>
  <c r="J6" i="6"/>
  <c r="N6" i="6" s="1"/>
  <c r="J7" i="6"/>
  <c r="N7" i="6" s="1"/>
  <c r="J8" i="6"/>
  <c r="N8" i="6" s="1"/>
  <c r="J9" i="6"/>
  <c r="N9" i="6" s="1"/>
  <c r="J10" i="6"/>
  <c r="N10" i="6" s="1"/>
  <c r="J11" i="6"/>
  <c r="N11" i="6" s="1"/>
  <c r="J12" i="6"/>
  <c r="N12" i="6" s="1"/>
  <c r="J13" i="6"/>
  <c r="N13" i="6" s="1"/>
  <c r="J14" i="6"/>
  <c r="N14" i="6" s="1"/>
  <c r="J15" i="6"/>
  <c r="N15" i="6" s="1"/>
  <c r="J16" i="6"/>
  <c r="N16" i="6" s="1"/>
  <c r="J17" i="6"/>
  <c r="N17" i="6" s="1"/>
  <c r="J18" i="6"/>
  <c r="N18" i="6" s="1"/>
  <c r="J19" i="6"/>
  <c r="N19" i="6" s="1"/>
  <c r="J20" i="6"/>
  <c r="N20" i="6" s="1"/>
  <c r="J21" i="6"/>
  <c r="N21" i="6" s="1"/>
  <c r="J4" i="6"/>
  <c r="N4" i="6" s="1"/>
  <c r="G4" i="6"/>
  <c r="C4" i="6" s="1"/>
  <c r="G5" i="6"/>
  <c r="C5" i="6" s="1"/>
  <c r="G6" i="6"/>
  <c r="C6" i="6" s="1"/>
  <c r="G7" i="6"/>
  <c r="C7" i="6" s="1"/>
  <c r="G8" i="6"/>
  <c r="C8" i="6" s="1"/>
  <c r="G9" i="6"/>
  <c r="G10" i="6"/>
  <c r="G11" i="6"/>
  <c r="G12" i="6"/>
  <c r="G13" i="6"/>
  <c r="G14" i="6"/>
  <c r="G15" i="6"/>
  <c r="G16" i="6"/>
  <c r="G17" i="6"/>
  <c r="G18" i="6"/>
  <c r="G19" i="6"/>
  <c r="G20" i="6"/>
  <c r="G21" i="6"/>
  <c r="G3" i="6"/>
  <c r="P242" i="14" l="1"/>
  <c r="E243" i="14"/>
  <c r="F243" i="14" s="1"/>
  <c r="Q243" i="14" s="1"/>
  <c r="N243" i="14"/>
  <c r="J26" i="6"/>
  <c r="N3" i="6"/>
  <c r="N26" i="6" s="1"/>
  <c r="M26" i="6" s="1"/>
  <c r="K244" i="14"/>
  <c r="M244" i="14" s="1"/>
  <c r="T17" i="6"/>
  <c r="C17" i="6"/>
  <c r="T11" i="6"/>
  <c r="C11" i="6"/>
  <c r="T10" i="6"/>
  <c r="C10" i="6"/>
  <c r="T21" i="6"/>
  <c r="C21" i="6"/>
  <c r="D22" i="6" s="1"/>
  <c r="E22" i="6" s="1"/>
  <c r="F22" i="6" s="1"/>
  <c r="T15" i="6"/>
  <c r="C15" i="6"/>
  <c r="T9" i="6"/>
  <c r="C9" i="6"/>
  <c r="D10" i="6" s="1"/>
  <c r="E10" i="6" s="1"/>
  <c r="T16" i="6"/>
  <c r="C16" i="6"/>
  <c r="T20" i="6"/>
  <c r="C20" i="6"/>
  <c r="T14" i="6"/>
  <c r="C14" i="6"/>
  <c r="T19" i="6"/>
  <c r="C19" i="6"/>
  <c r="T13" i="6"/>
  <c r="C13" i="6"/>
  <c r="T3" i="6"/>
  <c r="C3" i="6"/>
  <c r="T18" i="6"/>
  <c r="C18" i="6"/>
  <c r="T12" i="6"/>
  <c r="C12" i="6"/>
  <c r="D6" i="6"/>
  <c r="E6" i="6" s="1"/>
  <c r="F6" i="6" s="1"/>
  <c r="T5" i="6"/>
  <c r="D5" i="6"/>
  <c r="E5" i="6" s="1"/>
  <c r="F5" i="6" s="1"/>
  <c r="T4" i="6"/>
  <c r="D9" i="6"/>
  <c r="E9" i="6" s="1"/>
  <c r="T8" i="6"/>
  <c r="D8" i="6"/>
  <c r="E8" i="6" s="1"/>
  <c r="F8" i="6" s="1"/>
  <c r="T7" i="6"/>
  <c r="D7" i="6"/>
  <c r="E7" i="6" s="1"/>
  <c r="F7" i="6" s="1"/>
  <c r="T6" i="6"/>
  <c r="P243" i="14" l="1"/>
  <c r="I26" i="6"/>
  <c r="J27" i="6"/>
  <c r="N244" i="14"/>
  <c r="E244" i="14" s="1"/>
  <c r="F244" i="14" s="1"/>
  <c r="F10" i="6"/>
  <c r="K245" i="14"/>
  <c r="M245" i="14" s="1"/>
  <c r="F9" i="6"/>
  <c r="D11" i="6"/>
  <c r="E11" i="6" s="1"/>
  <c r="F11" i="6" s="1"/>
  <c r="Q244" i="14" l="1"/>
  <c r="P244" i="14"/>
  <c r="N245" i="14"/>
  <c r="E245" i="14" s="1"/>
  <c r="F245" i="14" s="1"/>
  <c r="K246" i="14"/>
  <c r="M246" i="14" s="1"/>
  <c r="D12" i="6"/>
  <c r="E12" i="6" s="1"/>
  <c r="F12" i="6" s="1"/>
  <c r="F9" i="5"/>
  <c r="S96" i="5"/>
  <c r="S95" i="5"/>
  <c r="S94" i="5"/>
  <c r="S93" i="5"/>
  <c r="S92" i="5"/>
  <c r="S91" i="5"/>
  <c r="S90" i="5"/>
  <c r="S89" i="5"/>
  <c r="S88" i="5"/>
  <c r="S87" i="5"/>
  <c r="S86" i="5"/>
  <c r="S85" i="5"/>
  <c r="S84" i="5"/>
  <c r="S83" i="5"/>
  <c r="S82" i="5"/>
  <c r="S81" i="5"/>
  <c r="S80" i="5"/>
  <c r="S79" i="5"/>
  <c r="S78" i="5"/>
  <c r="S77" i="5"/>
  <c r="S76" i="5"/>
  <c r="S75" i="5"/>
  <c r="S74" i="5"/>
  <c r="S73" i="5"/>
  <c r="T72" i="5"/>
  <c r="S71" i="5"/>
  <c r="S70" i="5"/>
  <c r="S69" i="5"/>
  <c r="S68" i="5"/>
  <c r="S67" i="5"/>
  <c r="S66" i="5"/>
  <c r="S65" i="5"/>
  <c r="S64" i="5"/>
  <c r="S63" i="5"/>
  <c r="S62" i="5"/>
  <c r="S61" i="5"/>
  <c r="S60" i="5"/>
  <c r="S59" i="5"/>
  <c r="S58" i="5"/>
  <c r="S39" i="5"/>
  <c r="T96" i="5"/>
  <c r="T95" i="5"/>
  <c r="T94" i="5"/>
  <c r="T93" i="5"/>
  <c r="T92" i="5"/>
  <c r="T91" i="5"/>
  <c r="T90" i="5"/>
  <c r="T89" i="5"/>
  <c r="T88" i="5"/>
  <c r="T87" i="5"/>
  <c r="T86" i="5"/>
  <c r="T85" i="5"/>
  <c r="T84" i="5"/>
  <c r="T83" i="5"/>
  <c r="T82" i="5"/>
  <c r="T81" i="5"/>
  <c r="T79" i="5"/>
  <c r="T78" i="5"/>
  <c r="T77" i="5"/>
  <c r="T76" i="5"/>
  <c r="T75" i="5"/>
  <c r="T74" i="5"/>
  <c r="T73" i="5"/>
  <c r="T71" i="5"/>
  <c r="T70" i="5"/>
  <c r="T69" i="5"/>
  <c r="T68" i="5"/>
  <c r="T67" i="5"/>
  <c r="T66" i="5"/>
  <c r="T64" i="5"/>
  <c r="T62" i="5"/>
  <c r="T61" i="5"/>
  <c r="T60" i="5"/>
  <c r="T59" i="5"/>
  <c r="T58" i="5"/>
  <c r="E1" i="5"/>
  <c r="B1" i="5" s="1"/>
  <c r="S30" i="5" s="1"/>
  <c r="Q245" i="14" l="1"/>
  <c r="P245" i="14"/>
  <c r="N246" i="14"/>
  <c r="E246" i="14" s="1"/>
  <c r="F246" i="14" s="1"/>
  <c r="K247" i="14"/>
  <c r="M247" i="14" s="1"/>
  <c r="T80" i="5"/>
  <c r="T63" i="5"/>
  <c r="T65" i="5"/>
  <c r="S72" i="5"/>
  <c r="S34" i="5"/>
  <c r="T34" i="5" s="1"/>
  <c r="S21" i="5"/>
  <c r="T21" i="5" s="1"/>
  <c r="S28" i="5"/>
  <c r="T28" i="5" s="1"/>
  <c r="S29" i="5"/>
  <c r="S27" i="5"/>
  <c r="T27" i="5" s="1"/>
  <c r="S36" i="5"/>
  <c r="T36" i="5" s="1"/>
  <c r="S20" i="5"/>
  <c r="S22" i="5"/>
  <c r="T22" i="5" s="1"/>
  <c r="S19" i="5"/>
  <c r="T19" i="5" s="1"/>
  <c r="S25" i="5"/>
  <c r="T25" i="5" s="1"/>
  <c r="S31" i="5"/>
  <c r="T31" i="5" s="1"/>
  <c r="S37" i="5"/>
  <c r="T37" i="5" s="1"/>
  <c r="S26" i="5"/>
  <c r="T26" i="5" s="1"/>
  <c r="S32" i="5"/>
  <c r="T32" i="5" s="1"/>
  <c r="S38" i="5"/>
  <c r="T38" i="5" s="1"/>
  <c r="D13" i="6"/>
  <c r="E13" i="6" s="1"/>
  <c r="F13" i="6" s="1"/>
  <c r="S33" i="5"/>
  <c r="T33" i="5" s="1"/>
  <c r="S45" i="5"/>
  <c r="S53" i="5"/>
  <c r="T53" i="5" s="1"/>
  <c r="S46" i="5"/>
  <c r="S54" i="5"/>
  <c r="S24" i="5"/>
  <c r="T24" i="5" s="1"/>
  <c r="S47" i="5"/>
  <c r="S55" i="5"/>
  <c r="T55" i="5" s="1"/>
  <c r="S35" i="5"/>
  <c r="T35" i="5" s="1"/>
  <c r="S40" i="5"/>
  <c r="S48" i="5"/>
  <c r="T48" i="5" s="1"/>
  <c r="S56" i="5"/>
  <c r="T56" i="5" s="1"/>
  <c r="S41" i="5"/>
  <c r="S49" i="5"/>
  <c r="S57" i="5"/>
  <c r="T57" i="5" s="1"/>
  <c r="S42" i="5"/>
  <c r="T42" i="5" s="1"/>
  <c r="S50" i="5"/>
  <c r="T50" i="5" s="1"/>
  <c r="S23" i="5"/>
  <c r="T23" i="5" s="1"/>
  <c r="S43" i="5"/>
  <c r="T43" i="5" s="1"/>
  <c r="S51" i="5"/>
  <c r="T51" i="5" s="1"/>
  <c r="S44" i="5"/>
  <c r="T44" i="5" s="1"/>
  <c r="S52" i="5"/>
  <c r="T52" i="5" s="1"/>
  <c r="T54" i="5"/>
  <c r="T46" i="5"/>
  <c r="T41" i="5"/>
  <c r="T49" i="5"/>
  <c r="T20" i="5"/>
  <c r="T30" i="5"/>
  <c r="T39" i="5"/>
  <c r="T47" i="5"/>
  <c r="T29" i="5"/>
  <c r="T45" i="5"/>
  <c r="T40" i="5"/>
  <c r="P246" i="14" l="1"/>
  <c r="Q246" i="14"/>
  <c r="E247" i="14"/>
  <c r="F247" i="14" s="1"/>
  <c r="N247" i="14"/>
  <c r="K248" i="14"/>
  <c r="M248" i="14" s="1"/>
  <c r="D14" i="6"/>
  <c r="E14" i="6" s="1"/>
  <c r="F14" i="6" s="1"/>
  <c r="P247" i="14" l="1"/>
  <c r="Q247" i="14"/>
  <c r="N248" i="14"/>
  <c r="E248" i="14" s="1"/>
  <c r="F248" i="14" s="1"/>
  <c r="P248" i="14" s="1"/>
  <c r="K249" i="14"/>
  <c r="M249" i="14" s="1"/>
  <c r="D15" i="6"/>
  <c r="E15" i="6" s="1"/>
  <c r="F15" i="6" s="1"/>
  <c r="Q248" i="14" l="1"/>
  <c r="N249" i="14"/>
  <c r="E249" i="14" s="1"/>
  <c r="F249" i="14" s="1"/>
  <c r="P249" i="14" s="1"/>
  <c r="K250" i="14"/>
  <c r="M250" i="14" s="1"/>
  <c r="D16" i="6"/>
  <c r="E16" i="6" s="1"/>
  <c r="F16" i="6" s="1"/>
  <c r="Q249" i="14" l="1"/>
  <c r="N250" i="14"/>
  <c r="E250" i="14" s="1"/>
  <c r="F250" i="14" s="1"/>
  <c r="K251" i="14"/>
  <c r="M251" i="14" s="1"/>
  <c r="D17" i="6"/>
  <c r="E17" i="6" s="1"/>
  <c r="F17" i="6" s="1"/>
  <c r="Q250" i="14" l="1"/>
  <c r="P250" i="14"/>
  <c r="N251" i="14"/>
  <c r="E251" i="14" s="1"/>
  <c r="F251" i="14" s="1"/>
  <c r="K252" i="14"/>
  <c r="M252" i="14" s="1"/>
  <c r="D18" i="6"/>
  <c r="E18" i="6" s="1"/>
  <c r="F18" i="6" s="1"/>
  <c r="Q251" i="14" l="1"/>
  <c r="P251" i="14"/>
  <c r="N252" i="14"/>
  <c r="E252" i="14" s="1"/>
  <c r="F252" i="14" s="1"/>
  <c r="K253" i="14"/>
  <c r="M253" i="14" s="1"/>
  <c r="D19" i="6"/>
  <c r="E19" i="6" s="1"/>
  <c r="F19" i="6" s="1"/>
  <c r="P252" i="14" l="1"/>
  <c r="Q252" i="14"/>
  <c r="N253" i="14"/>
  <c r="E253" i="14" s="1"/>
  <c r="F253" i="14" s="1"/>
  <c r="K254" i="14"/>
  <c r="M254" i="14" s="1"/>
  <c r="D20" i="6"/>
  <c r="E20" i="6" s="1"/>
  <c r="F20" i="6" s="1"/>
  <c r="Q253" i="14" l="1"/>
  <c r="P253" i="14"/>
  <c r="N254" i="14"/>
  <c r="M259" i="14" s="1"/>
  <c r="K259" i="14"/>
  <c r="J259" i="14" s="1"/>
  <c r="R2" i="8"/>
  <c r="T2" i="8" s="1"/>
  <c r="U2" i="8" s="1"/>
  <c r="D21" i="6"/>
  <c r="E21" i="6" s="1"/>
  <c r="F21" i="6" s="1"/>
  <c r="K263" i="14" l="1"/>
  <c r="J263" i="14" s="1"/>
  <c r="E254" i="14"/>
  <c r="L259" i="14"/>
  <c r="R3" i="8"/>
  <c r="F254" i="14" l="1"/>
  <c r="P3" i="8"/>
  <c r="Q3" i="8" s="1"/>
  <c r="T3" i="8"/>
  <c r="U3" i="8" s="1"/>
  <c r="R4" i="8"/>
  <c r="AG3" i="8" l="1"/>
  <c r="AH3" i="8" s="1"/>
  <c r="Q254" i="14"/>
  <c r="P254" i="14"/>
  <c r="F256" i="14"/>
  <c r="AB3" i="8"/>
  <c r="AC3" i="8" s="1"/>
  <c r="AD3" i="8" s="1"/>
  <c r="V3" i="8"/>
  <c r="W3" i="8" s="1"/>
  <c r="X3" i="8" s="1"/>
  <c r="P4" i="8"/>
  <c r="Q4" i="8" s="1"/>
  <c r="T4" i="8"/>
  <c r="U4" i="8" s="1"/>
  <c r="AG4" i="8" l="1"/>
  <c r="AH4" i="8" s="1"/>
  <c r="P256" i="14"/>
  <c r="P255" i="14"/>
  <c r="Q255" i="14"/>
  <c r="Q256" i="14"/>
  <c r="AB4" i="8"/>
  <c r="AC4" i="8" s="1"/>
  <c r="AD4" i="8" s="1"/>
  <c r="P5" i="8"/>
  <c r="Q5" i="8" s="1"/>
  <c r="AG5" i="8" s="1"/>
  <c r="AH5" i="8" s="1"/>
  <c r="R6" i="8"/>
  <c r="Q261" i="14" l="1"/>
  <c r="Q258" i="14"/>
  <c r="Q263" i="14" s="1"/>
  <c r="P261" i="14"/>
  <c r="O258" i="14"/>
  <c r="O263" i="14" s="1"/>
  <c r="V4" i="8"/>
  <c r="AB5" i="8"/>
  <c r="P6" i="8"/>
  <c r="Q6" i="8" s="1"/>
  <c r="T6" i="8"/>
  <c r="U6" i="8" s="1"/>
  <c r="R7" i="8"/>
  <c r="D4" i="6"/>
  <c r="AG6" i="8" l="1"/>
  <c r="AH6" i="8" s="1"/>
  <c r="AB6" i="8"/>
  <c r="AC6" i="8" s="1"/>
  <c r="V5" i="8"/>
  <c r="V6" i="8" s="1"/>
  <c r="W4" i="8"/>
  <c r="X4" i="8" s="1"/>
  <c r="AC5" i="8"/>
  <c r="AD5" i="8" s="1"/>
  <c r="P7" i="8"/>
  <c r="Q7" i="8" s="1"/>
  <c r="T7" i="8"/>
  <c r="U7" i="8" s="1"/>
  <c r="R8" i="8"/>
  <c r="E4" i="6"/>
  <c r="F4" i="6" s="1"/>
  <c r="F23" i="6" s="1"/>
  <c r="AG7" i="8" l="1"/>
  <c r="AH7" i="8" s="1"/>
  <c r="W5" i="8"/>
  <c r="X5" i="8" s="1"/>
  <c r="AB7" i="8"/>
  <c r="AC7" i="8" s="1"/>
  <c r="AD6" i="8"/>
  <c r="V7" i="8"/>
  <c r="P8" i="8"/>
  <c r="Q8" i="8" s="1"/>
  <c r="T8" i="8"/>
  <c r="U8" i="8" s="1"/>
  <c r="W6" i="8"/>
  <c r="R9" i="8"/>
  <c r="AG8" i="8" l="1"/>
  <c r="AH8" i="8" s="1"/>
  <c r="X6" i="8"/>
  <c r="AD7" i="8"/>
  <c r="V8" i="8"/>
  <c r="AB8" i="8"/>
  <c r="AC8" i="8" s="1"/>
  <c r="P9" i="8"/>
  <c r="Q9" i="8" s="1"/>
  <c r="T9" i="8"/>
  <c r="U9" i="8" s="1"/>
  <c r="W7" i="8"/>
  <c r="R10" i="8"/>
  <c r="AG9" i="8" l="1"/>
  <c r="AH9" i="8" s="1"/>
  <c r="X7" i="8"/>
  <c r="V9" i="8"/>
  <c r="AD8" i="8"/>
  <c r="AB9" i="8"/>
  <c r="AC9" i="8" s="1"/>
  <c r="P10" i="8"/>
  <c r="Q10" i="8" s="1"/>
  <c r="T10" i="8"/>
  <c r="U10" i="8" s="1"/>
  <c r="W8" i="8"/>
  <c r="R11" i="8"/>
  <c r="K4" i="8"/>
  <c r="X8" i="8" l="1"/>
  <c r="AG10" i="8"/>
  <c r="AH10" i="8" s="1"/>
  <c r="AD9" i="8"/>
  <c r="AB10" i="8"/>
  <c r="AC10" i="8" s="1"/>
  <c r="V10" i="8"/>
  <c r="P11" i="8"/>
  <c r="Q11" i="8" s="1"/>
  <c r="T11" i="8"/>
  <c r="U11" i="8" s="1"/>
  <c r="W9" i="8"/>
  <c r="R12" i="8"/>
  <c r="K5" i="8"/>
  <c r="X9" i="8" l="1"/>
  <c r="AG11" i="8"/>
  <c r="AH11" i="8" s="1"/>
  <c r="AD10" i="8"/>
  <c r="AB11" i="8"/>
  <c r="AC11" i="8" s="1"/>
  <c r="V11" i="8"/>
  <c r="P12" i="8"/>
  <c r="Q12" i="8" s="1"/>
  <c r="T12" i="8"/>
  <c r="U12" i="8" s="1"/>
  <c r="W10" i="8"/>
  <c r="R13" i="8"/>
  <c r="K6" i="8"/>
  <c r="X10" i="8" l="1"/>
  <c r="AG12" i="8"/>
  <c r="AH12" i="8" s="1"/>
  <c r="AD11" i="8"/>
  <c r="AB12" i="8"/>
  <c r="AC12" i="8" s="1"/>
  <c r="V12" i="8"/>
  <c r="P13" i="8"/>
  <c r="Q13" i="8" s="1"/>
  <c r="T13" i="8"/>
  <c r="U13" i="8" s="1"/>
  <c r="W11" i="8"/>
  <c r="R14" i="8"/>
  <c r="K7" i="8"/>
  <c r="X11" i="8" l="1"/>
  <c r="AG13" i="8"/>
  <c r="AH13" i="8" s="1"/>
  <c r="AD12" i="8"/>
  <c r="AB13" i="8"/>
  <c r="AC13" i="8" s="1"/>
  <c r="V13" i="8"/>
  <c r="P14" i="8"/>
  <c r="Q14" i="8" s="1"/>
  <c r="T14" i="8"/>
  <c r="U14" i="8" s="1"/>
  <c r="W12" i="8"/>
  <c r="R15" i="8"/>
  <c r="K8" i="8"/>
  <c r="X12" i="8" l="1"/>
  <c r="AG14" i="8"/>
  <c r="AH14" i="8" s="1"/>
  <c r="AD13" i="8"/>
  <c r="AB14" i="8"/>
  <c r="AC14" i="8" s="1"/>
  <c r="V14" i="8"/>
  <c r="P15" i="8"/>
  <c r="Q15" i="8" s="1"/>
  <c r="T15" i="8"/>
  <c r="U15" i="8" s="1"/>
  <c r="W13" i="8"/>
  <c r="R16" i="8"/>
  <c r="K9" i="8"/>
  <c r="X13" i="8" l="1"/>
  <c r="AG15" i="8"/>
  <c r="AH15" i="8" s="1"/>
  <c r="AD14" i="8"/>
  <c r="AB15" i="8"/>
  <c r="AC15" i="8" s="1"/>
  <c r="V15" i="8"/>
  <c r="P16" i="8"/>
  <c r="Q16" i="8" s="1"/>
  <c r="T16" i="8"/>
  <c r="U16" i="8" s="1"/>
  <c r="W14" i="8"/>
  <c r="R17" i="8"/>
  <c r="K10" i="8"/>
  <c r="X14" i="8" l="1"/>
  <c r="AD15" i="8"/>
  <c r="AG16" i="8"/>
  <c r="AH16" i="8" s="1"/>
  <c r="AB16" i="8"/>
  <c r="AC16" i="8" s="1"/>
  <c r="V16" i="8"/>
  <c r="P17" i="8"/>
  <c r="Q17" i="8" s="1"/>
  <c r="T17" i="8"/>
  <c r="U17" i="8" s="1"/>
  <c r="W15" i="8"/>
  <c r="R18" i="8"/>
  <c r="K11" i="8"/>
  <c r="X15" i="8" l="1"/>
  <c r="AD16" i="8"/>
  <c r="AG17" i="8"/>
  <c r="AH17" i="8" s="1"/>
  <c r="AB17" i="8"/>
  <c r="AC17" i="8" s="1"/>
  <c r="V17" i="8"/>
  <c r="P18" i="8"/>
  <c r="Q18" i="8" s="1"/>
  <c r="T18" i="8"/>
  <c r="U18" i="8" s="1"/>
  <c r="W16" i="8"/>
  <c r="X16" i="8" s="1"/>
  <c r="R19" i="8"/>
  <c r="K12" i="8"/>
  <c r="AD17" i="8" l="1"/>
  <c r="AG18" i="8"/>
  <c r="AH18" i="8" s="1"/>
  <c r="AB18" i="8"/>
  <c r="AC18" i="8" s="1"/>
  <c r="V18" i="8"/>
  <c r="P19" i="8"/>
  <c r="Q19" i="8" s="1"/>
  <c r="T19" i="8"/>
  <c r="U19" i="8" s="1"/>
  <c r="W17" i="8"/>
  <c r="X17" i="8" s="1"/>
  <c r="R20" i="8"/>
  <c r="K13" i="8"/>
  <c r="AD18" i="8" l="1"/>
  <c r="AG19" i="8"/>
  <c r="AH19" i="8" s="1"/>
  <c r="AB19" i="8"/>
  <c r="AC19" i="8" s="1"/>
  <c r="V19" i="8"/>
  <c r="P20" i="8"/>
  <c r="Q20" i="8" s="1"/>
  <c r="T20" i="8"/>
  <c r="U20" i="8" s="1"/>
  <c r="W18" i="8"/>
  <c r="X18" i="8" s="1"/>
  <c r="R21" i="8"/>
  <c r="K14" i="8"/>
  <c r="AD19" i="8" l="1"/>
  <c r="AG20" i="8"/>
  <c r="AH20" i="8" s="1"/>
  <c r="AB20" i="8"/>
  <c r="AC20" i="8" s="1"/>
  <c r="V20" i="8"/>
  <c r="P21" i="8"/>
  <c r="Q21" i="8" s="1"/>
  <c r="T21" i="8"/>
  <c r="U21" i="8" s="1"/>
  <c r="W19" i="8"/>
  <c r="X19" i="8" s="1"/>
  <c r="R22" i="8"/>
  <c r="K15" i="8"/>
  <c r="AD20" i="8" l="1"/>
  <c r="AG21" i="8"/>
  <c r="AH21" i="8" s="1"/>
  <c r="AB21" i="8"/>
  <c r="AC21" i="8" s="1"/>
  <c r="V21" i="8"/>
  <c r="P22" i="8"/>
  <c r="Q22" i="8" s="1"/>
  <c r="T22" i="8"/>
  <c r="U22" i="8" s="1"/>
  <c r="W20" i="8"/>
  <c r="X20" i="8" s="1"/>
  <c r="R23" i="8"/>
  <c r="K16" i="8"/>
  <c r="AD21" i="8" l="1"/>
  <c r="AG22" i="8"/>
  <c r="AH22" i="8" s="1"/>
  <c r="AB22" i="8"/>
  <c r="AC22" i="8" s="1"/>
  <c r="V22" i="8"/>
  <c r="P23" i="8"/>
  <c r="Q23" i="8" s="1"/>
  <c r="T23" i="8"/>
  <c r="U23" i="8" s="1"/>
  <c r="W21" i="8"/>
  <c r="X21" i="8" s="1"/>
  <c r="R24" i="8"/>
  <c r="K17" i="8"/>
  <c r="AD22" i="8" l="1"/>
  <c r="AG23" i="8"/>
  <c r="AH23" i="8" s="1"/>
  <c r="AB23" i="8"/>
  <c r="AC23" i="8" s="1"/>
  <c r="V23" i="8"/>
  <c r="P24" i="8"/>
  <c r="Q24" i="8" s="1"/>
  <c r="T24" i="8"/>
  <c r="U24" i="8" s="1"/>
  <c r="W22" i="8"/>
  <c r="X22" i="8" s="1"/>
  <c r="R25" i="8"/>
  <c r="K18" i="8"/>
  <c r="AD23" i="8" l="1"/>
  <c r="AG24" i="8"/>
  <c r="AH24" i="8" s="1"/>
  <c r="AB24" i="8"/>
  <c r="AC24" i="8" s="1"/>
  <c r="V24" i="8"/>
  <c r="P25" i="8"/>
  <c r="Q25" i="8" s="1"/>
  <c r="T25" i="8"/>
  <c r="U25" i="8" s="1"/>
  <c r="W23" i="8"/>
  <c r="X23" i="8" s="1"/>
  <c r="R26" i="8"/>
  <c r="K19" i="8"/>
  <c r="AD24" i="8" l="1"/>
  <c r="AG25" i="8"/>
  <c r="AH25" i="8" s="1"/>
  <c r="AB25" i="8"/>
  <c r="AC25" i="8" s="1"/>
  <c r="V25" i="8"/>
  <c r="P26" i="8"/>
  <c r="Q26" i="8" s="1"/>
  <c r="T26" i="8"/>
  <c r="U26" i="8" s="1"/>
  <c r="W24" i="8"/>
  <c r="X24" i="8" s="1"/>
  <c r="R27" i="8"/>
  <c r="K20" i="8"/>
  <c r="AD25" i="8" l="1"/>
  <c r="AG26" i="8"/>
  <c r="AH26" i="8" s="1"/>
  <c r="AB26" i="8"/>
  <c r="AC26" i="8" s="1"/>
  <c r="V26" i="8"/>
  <c r="P27" i="8"/>
  <c r="Q27" i="8" s="1"/>
  <c r="T27" i="8"/>
  <c r="U27" i="8" s="1"/>
  <c r="W25" i="8"/>
  <c r="X25" i="8" s="1"/>
  <c r="R28" i="8"/>
  <c r="K21" i="8"/>
  <c r="AD26" i="8" l="1"/>
  <c r="AG27" i="8"/>
  <c r="AH27" i="8" s="1"/>
  <c r="AB27" i="8"/>
  <c r="AC27" i="8" s="1"/>
  <c r="V27" i="8"/>
  <c r="P28" i="8"/>
  <c r="Q28" i="8" s="1"/>
  <c r="T28" i="8"/>
  <c r="U28" i="8" s="1"/>
  <c r="W26" i="8"/>
  <c r="X26" i="8" s="1"/>
  <c r="R29" i="8"/>
  <c r="K22" i="8"/>
  <c r="AD27" i="8" l="1"/>
  <c r="AG28" i="8"/>
  <c r="AH28" i="8" s="1"/>
  <c r="AB28" i="8"/>
  <c r="AC28" i="8" s="1"/>
  <c r="V28" i="8"/>
  <c r="P29" i="8"/>
  <c r="Q29" i="8" s="1"/>
  <c r="T29" i="8"/>
  <c r="U29" i="8" s="1"/>
  <c r="W27" i="8"/>
  <c r="X27" i="8" s="1"/>
  <c r="R30" i="8"/>
  <c r="K23" i="8"/>
  <c r="AD28" i="8" l="1"/>
  <c r="AG29" i="8"/>
  <c r="AH29" i="8" s="1"/>
  <c r="AB29" i="8"/>
  <c r="AC29" i="8" s="1"/>
  <c r="V29" i="8"/>
  <c r="P30" i="8"/>
  <c r="Q30" i="8" s="1"/>
  <c r="T30" i="8"/>
  <c r="U30" i="8" s="1"/>
  <c r="W28" i="8"/>
  <c r="X28" i="8" s="1"/>
  <c r="R31" i="8"/>
  <c r="K24" i="8"/>
  <c r="AD29" i="8" l="1"/>
  <c r="AG30" i="8"/>
  <c r="AH30" i="8" s="1"/>
  <c r="AB30" i="8"/>
  <c r="AC30" i="8" s="1"/>
  <c r="V30" i="8"/>
  <c r="P31" i="8"/>
  <c r="Q31" i="8" s="1"/>
  <c r="T31" i="8"/>
  <c r="U31" i="8" s="1"/>
  <c r="W29" i="8"/>
  <c r="X29" i="8" s="1"/>
  <c r="R32" i="8"/>
  <c r="K25" i="8"/>
  <c r="AD30" i="8" l="1"/>
  <c r="AG31" i="8"/>
  <c r="AH31" i="8" s="1"/>
  <c r="AB31" i="8"/>
  <c r="AC31" i="8" s="1"/>
  <c r="V31" i="8"/>
  <c r="P32" i="8"/>
  <c r="Q32" i="8" s="1"/>
  <c r="T32" i="8"/>
  <c r="U32" i="8" s="1"/>
  <c r="W30" i="8"/>
  <c r="X30" i="8" s="1"/>
  <c r="R33" i="8"/>
  <c r="K26" i="8"/>
  <c r="AD31" i="8" l="1"/>
  <c r="AG32" i="8"/>
  <c r="AH32" i="8" s="1"/>
  <c r="AB32" i="8"/>
  <c r="AC32" i="8" s="1"/>
  <c r="V32" i="8"/>
  <c r="P33" i="8"/>
  <c r="Q33" i="8" s="1"/>
  <c r="T33" i="8"/>
  <c r="U33" i="8" s="1"/>
  <c r="W31" i="8"/>
  <c r="X31" i="8" s="1"/>
  <c r="R34" i="8"/>
  <c r="K27" i="8"/>
  <c r="AD32" i="8" l="1"/>
  <c r="AG33" i="8"/>
  <c r="AH33" i="8" s="1"/>
  <c r="AB33" i="8"/>
  <c r="AC33" i="8" s="1"/>
  <c r="V33" i="8"/>
  <c r="P34" i="8"/>
  <c r="Q34" i="8" s="1"/>
  <c r="T34" i="8"/>
  <c r="U34" i="8" s="1"/>
  <c r="W32" i="8"/>
  <c r="X32" i="8" s="1"/>
  <c r="R35" i="8"/>
  <c r="K28" i="8"/>
  <c r="AD33" i="8" l="1"/>
  <c r="AG34" i="8"/>
  <c r="AH34" i="8" s="1"/>
  <c r="AB34" i="8"/>
  <c r="AC34" i="8" s="1"/>
  <c r="V34" i="8"/>
  <c r="P35" i="8"/>
  <c r="Q35" i="8" s="1"/>
  <c r="T35" i="8"/>
  <c r="U35" i="8" s="1"/>
  <c r="W33" i="8"/>
  <c r="X33" i="8" s="1"/>
  <c r="R36" i="8"/>
  <c r="K29" i="8"/>
  <c r="AD34" i="8" l="1"/>
  <c r="AG35" i="8"/>
  <c r="AH35" i="8" s="1"/>
  <c r="AB35" i="8"/>
  <c r="AC35" i="8" s="1"/>
  <c r="V35" i="8"/>
  <c r="P36" i="8"/>
  <c r="Q36" i="8" s="1"/>
  <c r="T36" i="8"/>
  <c r="U36" i="8" s="1"/>
  <c r="W34" i="8"/>
  <c r="X34" i="8" s="1"/>
  <c r="R37" i="8"/>
  <c r="K30" i="8"/>
  <c r="AD35" i="8" l="1"/>
  <c r="AG36" i="8"/>
  <c r="AH36" i="8" s="1"/>
  <c r="AB36" i="8"/>
  <c r="AC36" i="8" s="1"/>
  <c r="V36" i="8"/>
  <c r="P37" i="8"/>
  <c r="Q37" i="8" s="1"/>
  <c r="T37" i="8"/>
  <c r="U37" i="8" s="1"/>
  <c r="W35" i="8"/>
  <c r="X35" i="8" s="1"/>
  <c r="R38" i="8"/>
  <c r="K31" i="8"/>
  <c r="AD36" i="8" l="1"/>
  <c r="AG37" i="8"/>
  <c r="AH37" i="8" s="1"/>
  <c r="AB37" i="8"/>
  <c r="AC37" i="8" s="1"/>
  <c r="V37" i="8"/>
  <c r="P38" i="8"/>
  <c r="Q38" i="8" s="1"/>
  <c r="T38" i="8"/>
  <c r="U38" i="8" s="1"/>
  <c r="W36" i="8"/>
  <c r="X36" i="8" s="1"/>
  <c r="R39" i="8"/>
  <c r="K32" i="8"/>
  <c r="AD37" i="8" l="1"/>
  <c r="AG38" i="8"/>
  <c r="AH38" i="8" s="1"/>
  <c r="AB38" i="8"/>
  <c r="AC38" i="8" s="1"/>
  <c r="V38" i="8"/>
  <c r="P39" i="8"/>
  <c r="Q39" i="8" s="1"/>
  <c r="T39" i="8"/>
  <c r="U39" i="8" s="1"/>
  <c r="W37" i="8"/>
  <c r="X37" i="8" s="1"/>
  <c r="R40" i="8"/>
  <c r="K33" i="8"/>
  <c r="AD38" i="8" l="1"/>
  <c r="AG39" i="8"/>
  <c r="AH39" i="8" s="1"/>
  <c r="AB39" i="8"/>
  <c r="AC39" i="8" s="1"/>
  <c r="V39" i="8"/>
  <c r="P40" i="8"/>
  <c r="Q40" i="8" s="1"/>
  <c r="T40" i="8"/>
  <c r="U40" i="8" s="1"/>
  <c r="W38" i="8"/>
  <c r="X38" i="8" s="1"/>
  <c r="R41" i="8"/>
  <c r="K34" i="8"/>
  <c r="AD39" i="8" l="1"/>
  <c r="AG40" i="8"/>
  <c r="AH40" i="8" s="1"/>
  <c r="V40" i="8"/>
  <c r="AB40" i="8"/>
  <c r="AC40" i="8" s="1"/>
  <c r="P41" i="8"/>
  <c r="Q41" i="8" s="1"/>
  <c r="T41" i="8"/>
  <c r="U41" i="8" s="1"/>
  <c r="W39" i="8"/>
  <c r="X39" i="8" s="1"/>
  <c r="R42" i="8"/>
  <c r="K35" i="8"/>
  <c r="AD40" i="8" l="1"/>
  <c r="AG41" i="8"/>
  <c r="AH41" i="8" s="1"/>
  <c r="AB41" i="8"/>
  <c r="AC41" i="8" s="1"/>
  <c r="V41" i="8"/>
  <c r="P42" i="8"/>
  <c r="Q42" i="8" s="1"/>
  <c r="T42" i="8"/>
  <c r="U42" i="8" s="1"/>
  <c r="W40" i="8"/>
  <c r="X40" i="8" s="1"/>
  <c r="R43" i="8"/>
  <c r="K36" i="8"/>
  <c r="AD41" i="8" l="1"/>
  <c r="AG42" i="8"/>
  <c r="AH42" i="8" s="1"/>
  <c r="AB42" i="8"/>
  <c r="AC42" i="8" s="1"/>
  <c r="AD42" i="8" s="1"/>
  <c r="V42" i="8"/>
  <c r="P43" i="8"/>
  <c r="Q43" i="8" s="1"/>
  <c r="T43" i="8"/>
  <c r="U43" i="8" s="1"/>
  <c r="W41" i="8"/>
  <c r="X41" i="8" s="1"/>
  <c r="R44" i="8"/>
  <c r="K37" i="8"/>
  <c r="AG43" i="8" l="1"/>
  <c r="AH43" i="8" s="1"/>
  <c r="V43" i="8"/>
  <c r="AB43" i="8"/>
  <c r="AC43" i="8" s="1"/>
  <c r="AD43" i="8" s="1"/>
  <c r="P44" i="8"/>
  <c r="Q44" i="8" s="1"/>
  <c r="T44" i="8"/>
  <c r="U44" i="8" s="1"/>
  <c r="W42" i="8"/>
  <c r="X42" i="8" s="1"/>
  <c r="R45" i="8"/>
  <c r="K38" i="8"/>
  <c r="AG44" i="8" l="1"/>
  <c r="AH44" i="8" s="1"/>
  <c r="AB44" i="8"/>
  <c r="AC44" i="8" s="1"/>
  <c r="AD44" i="8" s="1"/>
  <c r="V44" i="8"/>
  <c r="P45" i="8"/>
  <c r="Q45" i="8" s="1"/>
  <c r="T45" i="8"/>
  <c r="U45" i="8" s="1"/>
  <c r="W43" i="8"/>
  <c r="X43" i="8" s="1"/>
  <c r="R46" i="8"/>
  <c r="K39" i="8"/>
  <c r="AG45" i="8" l="1"/>
  <c r="AH45" i="8" s="1"/>
  <c r="AB45" i="8"/>
  <c r="AC45" i="8" s="1"/>
  <c r="AD45" i="8" s="1"/>
  <c r="V45" i="8"/>
  <c r="P46" i="8"/>
  <c r="Q46" i="8" s="1"/>
  <c r="T46" i="8"/>
  <c r="U46" i="8" s="1"/>
  <c r="W44" i="8"/>
  <c r="X44" i="8" s="1"/>
  <c r="R47" i="8"/>
  <c r="K40" i="8"/>
  <c r="AG46" i="8" l="1"/>
  <c r="AH46" i="8" s="1"/>
  <c r="AB46" i="8"/>
  <c r="AC46" i="8" s="1"/>
  <c r="AD46" i="8" s="1"/>
  <c r="V46" i="8"/>
  <c r="P47" i="8"/>
  <c r="Q47" i="8" s="1"/>
  <c r="T47" i="8"/>
  <c r="U47" i="8" s="1"/>
  <c r="W45" i="8"/>
  <c r="X45" i="8" s="1"/>
  <c r="R48" i="8"/>
  <c r="K41" i="8"/>
  <c r="AG47" i="8" l="1"/>
  <c r="AH47" i="8" s="1"/>
  <c r="AB47" i="8"/>
  <c r="AC47" i="8" s="1"/>
  <c r="AD47" i="8" s="1"/>
  <c r="V47" i="8"/>
  <c r="P48" i="8"/>
  <c r="Q48" i="8" s="1"/>
  <c r="T48" i="8"/>
  <c r="U48" i="8" s="1"/>
  <c r="W46" i="8"/>
  <c r="X46" i="8" s="1"/>
  <c r="R49" i="8"/>
  <c r="K42" i="8"/>
  <c r="AG48" i="8" l="1"/>
  <c r="AH48" i="8" s="1"/>
  <c r="AB48" i="8"/>
  <c r="AC48" i="8" s="1"/>
  <c r="AD48" i="8" s="1"/>
  <c r="V48" i="8"/>
  <c r="P49" i="8"/>
  <c r="Q49" i="8" s="1"/>
  <c r="T49" i="8"/>
  <c r="U49" i="8" s="1"/>
  <c r="W47" i="8"/>
  <c r="X47" i="8" s="1"/>
  <c r="R50" i="8"/>
  <c r="K43" i="8"/>
  <c r="AG49" i="8" l="1"/>
  <c r="AH49" i="8" s="1"/>
  <c r="AB49" i="8"/>
  <c r="AC49" i="8" s="1"/>
  <c r="AD49" i="8" s="1"/>
  <c r="V49" i="8"/>
  <c r="P50" i="8"/>
  <c r="Q50" i="8" s="1"/>
  <c r="T50" i="8"/>
  <c r="U50" i="8" s="1"/>
  <c r="W48" i="8"/>
  <c r="X48" i="8" s="1"/>
  <c r="R51" i="8"/>
  <c r="K44" i="8"/>
  <c r="AG50" i="8" l="1"/>
  <c r="AH50" i="8" s="1"/>
  <c r="AB50" i="8"/>
  <c r="AC50" i="8" s="1"/>
  <c r="AD50" i="8" s="1"/>
  <c r="V50" i="8"/>
  <c r="P51" i="8"/>
  <c r="Q51" i="8" s="1"/>
  <c r="T51" i="8"/>
  <c r="U51" i="8" s="1"/>
  <c r="W49" i="8"/>
  <c r="X49" i="8" s="1"/>
  <c r="R52" i="8"/>
  <c r="K45" i="8"/>
  <c r="AG51" i="8" l="1"/>
  <c r="AH51" i="8" s="1"/>
  <c r="V51" i="8"/>
  <c r="AB51" i="8"/>
  <c r="AC51" i="8" s="1"/>
  <c r="AD51" i="8" s="1"/>
  <c r="P52" i="8"/>
  <c r="Q52" i="8" s="1"/>
  <c r="T52" i="8"/>
  <c r="U52" i="8" s="1"/>
  <c r="W50" i="8"/>
  <c r="X50" i="8" s="1"/>
  <c r="R53" i="8"/>
  <c r="K46" i="8"/>
  <c r="AG52" i="8" l="1"/>
  <c r="AH52" i="8" s="1"/>
  <c r="AB52" i="8"/>
  <c r="AC52" i="8" s="1"/>
  <c r="AD52" i="8" s="1"/>
  <c r="V52" i="8"/>
  <c r="P53" i="8"/>
  <c r="Q53" i="8" s="1"/>
  <c r="T53" i="8"/>
  <c r="U53" i="8" s="1"/>
  <c r="W51" i="8"/>
  <c r="X51" i="8" s="1"/>
  <c r="R54" i="8"/>
  <c r="K47" i="8"/>
  <c r="AG53" i="8" l="1"/>
  <c r="AH53" i="8" s="1"/>
  <c r="AB53" i="8"/>
  <c r="AC53" i="8" s="1"/>
  <c r="AD53" i="8" s="1"/>
  <c r="V53" i="8"/>
  <c r="P54" i="8"/>
  <c r="Q54" i="8" s="1"/>
  <c r="T54" i="8"/>
  <c r="U54" i="8" s="1"/>
  <c r="W52" i="8"/>
  <c r="X52" i="8" s="1"/>
  <c r="R55" i="8"/>
  <c r="K48" i="8"/>
  <c r="AG54" i="8" l="1"/>
  <c r="AH54" i="8" s="1"/>
  <c r="AB54" i="8"/>
  <c r="AC54" i="8" s="1"/>
  <c r="AD54" i="8" s="1"/>
  <c r="V54" i="8"/>
  <c r="P55" i="8"/>
  <c r="Q55" i="8" s="1"/>
  <c r="T55" i="8"/>
  <c r="U55" i="8" s="1"/>
  <c r="W53" i="8"/>
  <c r="X53" i="8" s="1"/>
  <c r="R56" i="8"/>
  <c r="K49" i="8"/>
  <c r="AG55" i="8" l="1"/>
  <c r="AH55" i="8" s="1"/>
  <c r="AB55" i="8"/>
  <c r="AC55" i="8" s="1"/>
  <c r="AD55" i="8" s="1"/>
  <c r="V55" i="8"/>
  <c r="P56" i="8"/>
  <c r="Q56" i="8" s="1"/>
  <c r="T56" i="8"/>
  <c r="U56" i="8" s="1"/>
  <c r="W54" i="8"/>
  <c r="X54" i="8" s="1"/>
  <c r="R57" i="8"/>
  <c r="K50" i="8"/>
  <c r="AG56" i="8" l="1"/>
  <c r="AH56" i="8" s="1"/>
  <c r="AB56" i="8"/>
  <c r="AC56" i="8" s="1"/>
  <c r="AD56" i="8" s="1"/>
  <c r="V56" i="8"/>
  <c r="P57" i="8"/>
  <c r="Q57" i="8" s="1"/>
  <c r="T57" i="8"/>
  <c r="U57" i="8" s="1"/>
  <c r="W55" i="8"/>
  <c r="X55" i="8" s="1"/>
  <c r="R58" i="8"/>
  <c r="K51" i="8"/>
  <c r="AG57" i="8" l="1"/>
  <c r="AH57" i="8" s="1"/>
  <c r="AB57" i="8"/>
  <c r="AC57" i="8" s="1"/>
  <c r="AD57" i="8" s="1"/>
  <c r="V57" i="8"/>
  <c r="P58" i="8"/>
  <c r="Q58" i="8" s="1"/>
  <c r="T58" i="8"/>
  <c r="U58" i="8" s="1"/>
  <c r="W56" i="8"/>
  <c r="X56" i="8" s="1"/>
  <c r="R59" i="8"/>
  <c r="K52" i="8"/>
  <c r="AG58" i="8" l="1"/>
  <c r="AH58" i="8" s="1"/>
  <c r="AB58" i="8"/>
  <c r="AC58" i="8" s="1"/>
  <c r="AD58" i="8" s="1"/>
  <c r="V58" i="8"/>
  <c r="P59" i="8"/>
  <c r="Q59" i="8" s="1"/>
  <c r="T59" i="8"/>
  <c r="U59" i="8" s="1"/>
  <c r="W57" i="8"/>
  <c r="X57" i="8" s="1"/>
  <c r="R60" i="8"/>
  <c r="K53" i="8"/>
  <c r="AG59" i="8" l="1"/>
  <c r="AH59" i="8" s="1"/>
  <c r="AB59" i="8"/>
  <c r="AC59" i="8" s="1"/>
  <c r="AD59" i="8" s="1"/>
  <c r="V59" i="8"/>
  <c r="P60" i="8"/>
  <c r="Q60" i="8" s="1"/>
  <c r="T60" i="8"/>
  <c r="U60" i="8" s="1"/>
  <c r="W58" i="8"/>
  <c r="X58" i="8" s="1"/>
  <c r="R61" i="8"/>
  <c r="K54" i="8"/>
  <c r="AG60" i="8" l="1"/>
  <c r="AH60" i="8" s="1"/>
  <c r="AB60" i="8"/>
  <c r="AC60" i="8" s="1"/>
  <c r="AD60" i="8" s="1"/>
  <c r="V60" i="8"/>
  <c r="P61" i="8"/>
  <c r="Q61" i="8" s="1"/>
  <c r="T61" i="8"/>
  <c r="U61" i="8" s="1"/>
  <c r="W59" i="8"/>
  <c r="X59" i="8" s="1"/>
  <c r="R62" i="8"/>
  <c r="K55" i="8"/>
  <c r="AG61" i="8" l="1"/>
  <c r="AH61" i="8" s="1"/>
  <c r="AB61" i="8"/>
  <c r="AC61" i="8" s="1"/>
  <c r="AD61" i="8" s="1"/>
  <c r="V61" i="8"/>
  <c r="P62" i="8"/>
  <c r="Q62" i="8" s="1"/>
  <c r="T62" i="8"/>
  <c r="U62" i="8" s="1"/>
  <c r="W60" i="8"/>
  <c r="X60" i="8" s="1"/>
  <c r="R63" i="8"/>
  <c r="K56" i="8"/>
  <c r="AG62" i="8" l="1"/>
  <c r="AH62" i="8" s="1"/>
  <c r="AB62" i="8"/>
  <c r="AC62" i="8" s="1"/>
  <c r="AD62" i="8" s="1"/>
  <c r="V62" i="8"/>
  <c r="P63" i="8"/>
  <c r="Q63" i="8" s="1"/>
  <c r="T63" i="8"/>
  <c r="U63" i="8" s="1"/>
  <c r="W61" i="8"/>
  <c r="X61" i="8" s="1"/>
  <c r="R64" i="8"/>
  <c r="K57" i="8"/>
  <c r="AG63" i="8" l="1"/>
  <c r="AH63" i="8" s="1"/>
  <c r="AB63" i="8"/>
  <c r="AC63" i="8" s="1"/>
  <c r="AD63" i="8" s="1"/>
  <c r="V63" i="8"/>
  <c r="P64" i="8"/>
  <c r="Q64" i="8" s="1"/>
  <c r="T64" i="8"/>
  <c r="U64" i="8" s="1"/>
  <c r="W62" i="8"/>
  <c r="X62" i="8" s="1"/>
  <c r="R65" i="8"/>
  <c r="R67" i="8" s="1"/>
  <c r="K58" i="8"/>
  <c r="AG64" i="8" l="1"/>
  <c r="AH64" i="8" s="1"/>
  <c r="R71" i="8"/>
  <c r="O74" i="8"/>
  <c r="R68" i="8"/>
  <c r="T68" i="8" s="1"/>
  <c r="V64" i="8"/>
  <c r="AB64" i="8"/>
  <c r="AC64" i="8" s="1"/>
  <c r="AD64" i="8" s="1"/>
  <c r="P65" i="8"/>
  <c r="Q65" i="8" s="1"/>
  <c r="T65" i="8"/>
  <c r="U65" i="8" s="1"/>
  <c r="W63" i="8"/>
  <c r="X63" i="8" s="1"/>
  <c r="K59" i="8"/>
  <c r="AG65" i="8" l="1"/>
  <c r="AH65" i="8" s="1"/>
  <c r="O78" i="8"/>
  <c r="O75" i="8"/>
  <c r="AB65" i="8"/>
  <c r="AC65" i="8" s="1"/>
  <c r="AD65" i="8" s="1"/>
  <c r="V65" i="8"/>
  <c r="W65" i="8" s="1"/>
  <c r="W64" i="8"/>
  <c r="X64" i="8" s="1"/>
  <c r="K60" i="8"/>
  <c r="AG66" i="8" l="1"/>
  <c r="AD67" i="8"/>
  <c r="AD68" i="8" s="1"/>
  <c r="AD71" i="8"/>
  <c r="AE71" i="8" s="1"/>
  <c r="X65" i="8"/>
  <c r="K61" i="8"/>
  <c r="AH66" i="8" l="1"/>
  <c r="AH67" i="8" s="1"/>
  <c r="AH68" i="8" s="1"/>
  <c r="AD74" i="8"/>
  <c r="AD69" i="8"/>
  <c r="X67" i="8"/>
  <c r="X68" i="8" s="1"/>
  <c r="X69" i="8" s="1"/>
  <c r="X71" i="8"/>
  <c r="Y71" i="8" s="1"/>
  <c r="K62" i="8"/>
  <c r="K63" i="8" l="1"/>
  <c r="K64" i="8" l="1"/>
  <c r="K65" i="8" l="1"/>
  <c r="N8" i="4" l="1"/>
  <c r="O8" i="4" l="1"/>
  <c r="U8" i="4" s="1"/>
</calcChain>
</file>

<file path=xl/sharedStrings.xml><?xml version="1.0" encoding="utf-8"?>
<sst xmlns="http://schemas.openxmlformats.org/spreadsheetml/2006/main" count="2951" uniqueCount="372">
  <si>
    <t>Data</t>
  </si>
  <si>
    <t>DU</t>
  </si>
  <si>
    <r>
      <rPr>
        <sz val="14"/>
        <color rgb="FFFF0000"/>
        <rFont val="Wingdings 3"/>
        <family val="1"/>
        <charset val="2"/>
      </rPr>
      <t></t>
    </r>
    <r>
      <rPr>
        <sz val="14"/>
        <color rgb="FFFF0000"/>
        <rFont val="Arial"/>
        <family val="2"/>
      </rPr>
      <t xml:space="preserve"> </t>
    </r>
    <r>
      <rPr>
        <sz val="14"/>
        <color rgb="FF7030A0"/>
        <rFont val="Arial"/>
        <family val="2"/>
      </rPr>
      <t xml:space="preserve"> </t>
    </r>
    <r>
      <rPr>
        <sz val="14"/>
        <color theme="6" tint="-0.499984740745262"/>
        <rFont val="Arial"/>
        <family val="2"/>
      </rPr>
      <t>Data Base</t>
    </r>
    <r>
      <rPr>
        <sz val="14"/>
        <color theme="9" tint="-0.499984740745262"/>
        <rFont val="Arial"/>
        <family val="2"/>
      </rPr>
      <t xml:space="preserve"> </t>
    </r>
  </si>
  <si>
    <t>Atalho Resumo Estatístico</t>
  </si>
  <si>
    <t>Site da B3: Home / Market Data e Índices / Serviços de dados / Market Data / Histórico / Derivativos  / Resumo estatístico / Sistema pregão</t>
  </si>
  <si>
    <t>Código</t>
  </si>
  <si>
    <t>Vencimento</t>
  </si>
  <si>
    <t>Mês</t>
  </si>
  <si>
    <t>http://www.b3.com.br/pt_br/market-data-e-indices/servicos-de-dados/market-data/historico/derivativos/resumo-estatistico/sistema-pregao/</t>
  </si>
  <si>
    <t>F</t>
  </si>
  <si>
    <t>JAN</t>
  </si>
  <si>
    <t>01</t>
  </si>
  <si>
    <t>G</t>
  </si>
  <si>
    <t>FEV</t>
  </si>
  <si>
    <t>02</t>
  </si>
  <si>
    <r>
      <rPr>
        <b/>
        <sz val="12"/>
        <color rgb="FFFF0000"/>
        <rFont val="Symbol"/>
        <family val="1"/>
        <charset val="2"/>
      </rPr>
      <t>­</t>
    </r>
    <r>
      <rPr>
        <b/>
        <sz val="10.199999999999999"/>
        <color rgb="FFFF0000"/>
        <rFont val="Arial"/>
        <family val="2"/>
      </rPr>
      <t xml:space="preserve"> </t>
    </r>
    <r>
      <rPr>
        <b/>
        <sz val="12"/>
        <color rgb="FFFF0000"/>
        <rFont val="Arial"/>
        <family val="2"/>
      </rPr>
      <t>Preencha com a Média do CDI do dia da Data Base</t>
    </r>
  </si>
  <si>
    <t>H</t>
  </si>
  <si>
    <t>MAR</t>
  </si>
  <si>
    <t>03</t>
  </si>
  <si>
    <t>http://www.b3.com.br/pt_br/market-data-e-indices/indices/indices-de-segmentos-e-setoriais/serie-historica-do-di.htm</t>
  </si>
  <si>
    <t>J</t>
  </si>
  <si>
    <t>ABR</t>
  </si>
  <si>
    <t>04</t>
  </si>
  <si>
    <t>K</t>
  </si>
  <si>
    <t>MAI</t>
  </si>
  <si>
    <t>05</t>
  </si>
  <si>
    <t>M</t>
  </si>
  <si>
    <t>JUN</t>
  </si>
  <si>
    <t>06</t>
  </si>
  <si>
    <t>N</t>
  </si>
  <si>
    <t>JUL</t>
  </si>
  <si>
    <t>07</t>
  </si>
  <si>
    <t>Q</t>
  </si>
  <si>
    <t>AGO</t>
  </si>
  <si>
    <t>08</t>
  </si>
  <si>
    <r>
      <rPr>
        <b/>
        <sz val="20"/>
        <color rgb="FFFF0000"/>
        <rFont val="Wingdings 3"/>
        <family val="1"/>
        <charset val="2"/>
      </rPr>
      <t>$</t>
    </r>
    <r>
      <rPr>
        <sz val="14"/>
        <color rgb="FFFF0000"/>
        <rFont val="Arial"/>
        <family val="2"/>
      </rPr>
      <t xml:space="preserve">  </t>
    </r>
    <r>
      <rPr>
        <sz val="16"/>
        <color rgb="FFFF0000"/>
        <rFont val="Berlin Sans FB Demi"/>
        <family val="2"/>
      </rPr>
      <t>Cole em A11</t>
    </r>
    <r>
      <rPr>
        <sz val="16"/>
        <color theme="2" tint="-0.749992370372631"/>
        <rFont val="Berlin Sans FB Demi"/>
        <family val="2"/>
      </rPr>
      <t xml:space="preserve"> </t>
    </r>
    <r>
      <rPr>
        <sz val="16"/>
        <color theme="9"/>
        <rFont val="Berlin Sans FB Demi"/>
        <family val="2"/>
      </rPr>
      <t>(use  opção de colagem: Fazer correspondência com a Formatação de Destino (F))</t>
    </r>
  </si>
  <si>
    <t>U</t>
  </si>
  <si>
    <t>SET</t>
  </si>
  <si>
    <t>09</t>
  </si>
  <si>
    <t>V</t>
  </si>
  <si>
    <t>OUT</t>
  </si>
  <si>
    <t>10</t>
  </si>
  <si>
    <t>X</t>
  </si>
  <si>
    <t>NOV</t>
  </si>
  <si>
    <t>11</t>
  </si>
  <si>
    <t>Z</t>
  </si>
  <si>
    <t>DEZ</t>
  </si>
  <si>
    <t>12</t>
  </si>
  <si>
    <t>MERCADO FUTURO</t>
  </si>
  <si>
    <t>Dados</t>
  </si>
  <si>
    <t>Volume</t>
  </si>
  <si>
    <t>VENCTO</t>
  </si>
  <si>
    <t>CONTR. ABERT.(1)</t>
  </si>
  <si>
    <t>CONTR. FECH.(2)</t>
  </si>
  <si>
    <t>NÚM. NEGOC.</t>
  </si>
  <si>
    <t>CONTR. NEGOC.</t>
  </si>
  <si>
    <t>VOL.</t>
  </si>
  <si>
    <t>AJUSTE ANTER. (3)</t>
  </si>
  <si>
    <t>AJUSTE ANTER. CORRIG. (4)</t>
  </si>
  <si>
    <t>PREÇO ABERT.</t>
  </si>
  <si>
    <t>PREÇO MÍN.</t>
  </si>
  <si>
    <t>PREÇO MÁX.</t>
  </si>
  <si>
    <t>PREÇO MÉD.</t>
  </si>
  <si>
    <t>ÚLT. PREÇO</t>
  </si>
  <si>
    <t>AJUSTE</t>
  </si>
  <si>
    <t>VAR. PTOS.</t>
  </si>
  <si>
    <t>ÚLT. OF. COMPRA</t>
  </si>
  <si>
    <t>ÚLT. OF. VENDA</t>
  </si>
  <si>
    <t>Taxa de Ajuste</t>
  </si>
  <si>
    <t>G23</t>
  </si>
  <si>
    <t>H23</t>
  </si>
  <si>
    <t>J23</t>
  </si>
  <si>
    <t>N23</t>
  </si>
  <si>
    <t>V23</t>
  </si>
  <si>
    <t>F24</t>
  </si>
  <si>
    <t>J24</t>
  </si>
  <si>
    <t>N24</t>
  </si>
  <si>
    <t>V24</t>
  </si>
  <si>
    <t>F25</t>
  </si>
  <si>
    <t>J25</t>
  </si>
  <si>
    <t>N25</t>
  </si>
  <si>
    <t>V25</t>
  </si>
  <si>
    <t>F26</t>
  </si>
  <si>
    <t>J26</t>
  </si>
  <si>
    <t>N26</t>
  </si>
  <si>
    <t>V26</t>
  </si>
  <si>
    <t>F27</t>
  </si>
  <si>
    <t>J27</t>
  </si>
  <si>
    <t>F28</t>
  </si>
  <si>
    <t>F29</t>
  </si>
  <si>
    <t>F30</t>
  </si>
  <si>
    <t>F31</t>
  </si>
  <si>
    <t>F32</t>
  </si>
  <si>
    <t>F33</t>
  </si>
  <si>
    <t>F34</t>
  </si>
  <si>
    <t>F35</t>
  </si>
  <si>
    <t>F36</t>
  </si>
  <si>
    <t>F37</t>
  </si>
  <si>
    <t>A taxa e os preços são apenas prévias, não devendo ser considerados definitivos.</t>
  </si>
  <si>
    <t>K23</t>
  </si>
  <si>
    <t>M23</t>
  </si>
  <si>
    <t>Q23</t>
  </si>
  <si>
    <t>U23</t>
  </si>
  <si>
    <t>X23</t>
  </si>
  <si>
    <t>Z23</t>
  </si>
  <si>
    <t>N27</t>
  </si>
  <si>
    <t>V27</t>
  </si>
  <si>
    <t>DATA:</t>
  </si>
  <si>
    <t>Data do pregão</t>
  </si>
  <si>
    <t>Data do vencimento</t>
  </si>
  <si>
    <t>Cotação do ajuste - dia atual</t>
  </si>
  <si>
    <t>Valor de ajuste por contrato</t>
  </si>
  <si>
    <t>du</t>
  </si>
  <si>
    <t>taxa</t>
  </si>
  <si>
    <t>Cotação do ajuste - dia anterior</t>
  </si>
  <si>
    <t>Cotação do ajuste - dia anterior corrigido</t>
  </si>
  <si>
    <r>
      <t xml:space="preserve">CDI </t>
    </r>
    <r>
      <rPr>
        <b/>
        <vertAlign val="superscript"/>
        <sz val="10"/>
        <rFont val="Tahoma"/>
        <family val="2"/>
      </rPr>
      <t>d-1</t>
    </r>
  </si>
  <si>
    <t>FC</t>
  </si>
  <si>
    <t>Vendido em PU</t>
  </si>
  <si>
    <t>Comprado em PU</t>
  </si>
  <si>
    <t>↓</t>
  </si>
  <si>
    <t>↑</t>
  </si>
  <si>
    <t>Ativo em CDI</t>
  </si>
  <si>
    <t>Passivo em CDI</t>
  </si>
  <si>
    <t>Comprado</t>
  </si>
  <si>
    <t>Vendido</t>
  </si>
  <si>
    <t>100% CDI</t>
  </si>
  <si>
    <t>← :: →</t>
  </si>
  <si>
    <t>Dif Taxa</t>
  </si>
  <si>
    <t>$</t>
  </si>
  <si>
    <t>CDI d-1</t>
  </si>
  <si>
    <t>Retorno</t>
  </si>
  <si>
    <t>Acumul.</t>
  </si>
  <si>
    <t>Spread</t>
  </si>
  <si>
    <r>
      <rPr>
        <b/>
        <sz val="14"/>
        <color theme="3" tint="0.39997558519241921"/>
        <rFont val="Arial"/>
        <family val="2"/>
      </rPr>
      <t>Mercadoria:</t>
    </r>
    <r>
      <rPr>
        <b/>
        <sz val="14"/>
        <color rgb="FFFF0000"/>
        <rFont val="Arial"/>
        <family val="2"/>
      </rPr>
      <t xml:space="preserve"> DAP Cupom DI x IPCA</t>
    </r>
  </si>
  <si>
    <t>CUPOM DE IPCA (contrato = R$0,00025 x PU x índice; cotação = taxa de juro)</t>
  </si>
  <si>
    <t>Atualizado em: 14/02/2023</t>
  </si>
  <si>
    <t>Q24</t>
  </si>
  <si>
    <t>K25</t>
  </si>
  <si>
    <t>Q26</t>
  </si>
  <si>
    <t>K27</t>
  </si>
  <si>
    <t>Q28</t>
  </si>
  <si>
    <t>Q30</t>
  </si>
  <si>
    <t>Q32</t>
  </si>
  <si>
    <t>K33</t>
  </si>
  <si>
    <t>K35</t>
  </si>
  <si>
    <t>Q40</t>
  </si>
  <si>
    <t>K45</t>
  </si>
  <si>
    <t>Q50</t>
  </si>
  <si>
    <t>K55</t>
  </si>
  <si>
    <t>Q60</t>
  </si>
  <si>
    <t>AJUSTE ANTER. (3)</t>
  </si>
  <si>
    <t>AJUSTE ANTER. CORRIG. (4)</t>
  </si>
  <si>
    <t>0,02-</t>
  </si>
  <si>
    <t>2,01+</t>
  </si>
  <si>
    <t>12,48+</t>
  </si>
  <si>
    <t>2,20-</t>
  </si>
  <si>
    <t>70,04+</t>
  </si>
  <si>
    <t>138,47+</t>
  </si>
  <si>
    <t>206,55+</t>
  </si>
  <si>
    <t>219,17+</t>
  </si>
  <si>
    <t>185,68+</t>
  </si>
  <si>
    <t>153,56+</t>
  </si>
  <si>
    <t>72,48+</t>
  </si>
  <si>
    <t>2,32-</t>
  </si>
  <si>
    <t>49,10+</t>
  </si>
  <si>
    <t>103,12+</t>
  </si>
  <si>
    <t>1,41-</t>
  </si>
  <si>
    <t>113,85+</t>
  </si>
  <si>
    <t>111,35+</t>
  </si>
  <si>
    <t>50,01+</t>
  </si>
  <si>
    <t>91,80+</t>
  </si>
  <si>
    <t>78,34+</t>
  </si>
  <si>
    <t>TAXA DI OVER PARA 14/02/2023: 0,0508%</t>
  </si>
  <si>
    <t>VALOR INDICE IPCA PRO RATA TEMPORE: 6.506,840</t>
  </si>
  <si>
    <t>(1) Contratos em aberto na abertura do dia</t>
  </si>
  <si>
    <t>(2) Contratos em aberto no fechamento do dia</t>
  </si>
  <si>
    <t>(3) Ajuste do dia anterior</t>
  </si>
  <si>
    <t>PRT</t>
  </si>
  <si>
    <t>Passivo em IPCA+</t>
  </si>
  <si>
    <t>Tomado em Juros Reais</t>
  </si>
  <si>
    <t>Comprado em Taxa Real</t>
  </si>
  <si>
    <t>Vendido em Taxa Real</t>
  </si>
  <si>
    <t>Doado em Juros Reais</t>
  </si>
  <si>
    <t>Ativo em IPCA+</t>
  </si>
  <si>
    <t>IPCA+</t>
  </si>
  <si>
    <t>CDI</t>
  </si>
  <si>
    <t>PRT d-1</t>
  </si>
  <si>
    <t>PRT d0</t>
  </si>
  <si>
    <r>
      <t xml:space="preserve">FC </t>
    </r>
    <r>
      <rPr>
        <b/>
        <vertAlign val="subscript"/>
        <sz val="10"/>
        <color rgb="FF002060"/>
        <rFont val="Calibri"/>
        <family val="2"/>
        <scheme val="minor"/>
      </rPr>
      <t>DI</t>
    </r>
    <r>
      <rPr>
        <b/>
        <sz val="10"/>
        <color rgb="FF002060"/>
        <rFont val="Calibri"/>
        <family val="2"/>
        <scheme val="minor"/>
      </rPr>
      <t>→</t>
    </r>
  </si>
  <si>
    <r>
      <t xml:space="preserve">FC </t>
    </r>
    <r>
      <rPr>
        <b/>
        <vertAlign val="subscript"/>
        <sz val="10"/>
        <color rgb="FF002060"/>
        <rFont val="Calibri"/>
        <family val="2"/>
        <scheme val="minor"/>
      </rPr>
      <t>IPCA→</t>
    </r>
  </si>
  <si>
    <t>Mercadoria</t>
  </si>
  <si>
    <t>Preço de ajuste anterior</t>
  </si>
  <si>
    <t>Preço de ajuste Atual</t>
  </si>
  <si>
    <t>Variação</t>
  </si>
  <si>
    <t>Valor do ajuste por contrato (R$)</t>
  </si>
  <si>
    <t>ABEVO - Contrato Futuro de ABEV3</t>
  </si>
  <si>
    <t>AFS - Rande da África do Sul (em USD)</t>
  </si>
  <si>
    <t>ARB - Peso Argentino (em Reais)</t>
  </si>
  <si>
    <t>ARS - Peso Argentino (em USD)</t>
  </si>
  <si>
    <t>AUD - Dólar Australiano (em Reais)</t>
  </si>
  <si>
    <t>AUS - Dólar Australiano (em USD)</t>
  </si>
  <si>
    <t>B3SAO - Contrato Futuro de B3SA3</t>
  </si>
  <si>
    <t>BBASO - Contrato Futuro de BBAS3</t>
  </si>
  <si>
    <t>BBDCP - Contrato Futuro de BBDC4</t>
  </si>
  <si>
    <t>BGI - Boi gordo</t>
  </si>
  <si>
    <t>BRI - Futuro do Índice Brasil 50</t>
  </si>
  <si>
    <t>CAD - Dólar Canadense (em Reais)</t>
  </si>
  <si>
    <t>CAN - Dólar Canadense (em USD)</t>
  </si>
  <si>
    <t>CCM - Milho</t>
  </si>
  <si>
    <t>H24</t>
  </si>
  <si>
    <t>U24</t>
  </si>
  <si>
    <t>CCROO - Contrato Futuro de CCRO3</t>
  </si>
  <si>
    <t>CHF - Franco Suíço (em Reais)</t>
  </si>
  <si>
    <t>CHL - Peso Chileno (em USD)</t>
  </si>
  <si>
    <t>CIELO - Contrato Futuro de CIEL3</t>
  </si>
  <si>
    <t>CLP - Peso Chileno (em Reais)</t>
  </si>
  <si>
    <t>CMIGP - Contrato Futuro de CMIG4</t>
  </si>
  <si>
    <t>CNH - Iuan Chinês Offshore (em USD)</t>
  </si>
  <si>
    <t>CNY - Iuan Chinês Onshore (em Reais)</t>
  </si>
  <si>
    <t>COGNO - Contrato Futuro de COGNO</t>
  </si>
  <si>
    <t>CSNAO - Contrato Futuro de CSNA3</t>
  </si>
  <si>
    <t>DAP - Cupom de DI x IPCA</t>
  </si>
  <si>
    <t>DAX - Contrato Futuro de DAX</t>
  </si>
  <si>
    <t>DCO - Cupom Cambial em OC1</t>
  </si>
  <si>
    <t>G24</t>
  </si>
  <si>
    <t>F38</t>
  </si>
  <si>
    <t>DDI - Cupom cambial</t>
  </si>
  <si>
    <t>DI1 - DI de 1 dia</t>
  </si>
  <si>
    <t>DOL - Dólar comercial</t>
  </si>
  <si>
    <t>ELETO - Contrato Futuro de ELET3</t>
  </si>
  <si>
    <t>ESX - Contrato Futuro de EURO STOXX 50</t>
  </si>
  <si>
    <t>ETH - Etanol Hidratado</t>
  </si>
  <si>
    <t>EUP - Euro (em USD)</t>
  </si>
  <si>
    <t>EUR - Euro (em Reais)</t>
  </si>
  <si>
    <t>FRC - FRA de cupom</t>
  </si>
  <si>
    <t>FRO - FRA de Cupom Cambial em OC1</t>
  </si>
  <si>
    <t>GBP - Libra Esterlina (em Reais)</t>
  </si>
  <si>
    <t>GBR - Libra Esterlina (em USD)</t>
  </si>
  <si>
    <t>GGBRP - Contrato Futuro de GGBR4</t>
  </si>
  <si>
    <t>HSI - Contrato Futuro de Índice BVMF Hang Seng</t>
  </si>
  <si>
    <t>HYPEO - Contrato Futuro de HYPE3</t>
  </si>
  <si>
    <t>ICF - Café Arábica 4/5</t>
  </si>
  <si>
    <t>K24</t>
  </si>
  <si>
    <t>IMV - Contrato Futuro de Indice Merval</t>
  </si>
  <si>
    <t>IND - Ibovespa</t>
  </si>
  <si>
    <t>M24</t>
  </si>
  <si>
    <t>Z24</t>
  </si>
  <si>
    <t>INK - Contrato Futuro de Indice Nikkei</t>
  </si>
  <si>
    <t>ISP - S&amp;P 500</t>
  </si>
  <si>
    <t>ITSAP - Contrato Futuro de ITSA4</t>
  </si>
  <si>
    <t>ITUBP - Contrato Futuro de ITUB4</t>
  </si>
  <si>
    <t>JAP - Iene Japonês (em USD)</t>
  </si>
  <si>
    <t>JBSSO - Contrato Futuro de JBSS3</t>
  </si>
  <si>
    <t>JPY - Iene Japonês (em Reais)</t>
  </si>
  <si>
    <t>JSE - Contrato Futuro de Índice BVMF FTSE/JSE TOP 40</t>
  </si>
  <si>
    <t>LRENO - Contrato Futuro de LREN3</t>
  </si>
  <si>
    <t>MEX - Peso Mexicano (em USD)</t>
  </si>
  <si>
    <t>MGLUO - Contrato Futuro de MGLU3</t>
  </si>
  <si>
    <t>MIX - Contrato Futuro de Índice BVMF MICEX</t>
  </si>
  <si>
    <t>MXN - Peso Mexicano (em Reais)</t>
  </si>
  <si>
    <t>NOK - Coroa Norueguesa (em USD)</t>
  </si>
  <si>
    <t>NTCOO - Contrato Futuro de NTCO3</t>
  </si>
  <si>
    <t>NZD - Dólar da Nova Zelândia (em Reais)</t>
  </si>
  <si>
    <t>NZL - Dólar da Nova Zelândia (em USD)</t>
  </si>
  <si>
    <t>OC1 - Contrato Futuro de OC1</t>
  </si>
  <si>
    <t>OZ1 - Ouro 250g</t>
  </si>
  <si>
    <t>PCARO - Contrato Futuro de PCAR3</t>
  </si>
  <si>
    <t>PETRP - Contrato Futuro de PETR4</t>
  </si>
  <si>
    <t>PSSAO - Contrato Futuro de PSSA3</t>
  </si>
  <si>
    <t>RENTO - Contrato Futuro de RENT3</t>
  </si>
  <si>
    <t>RUB - Rublo Russo (em USD)</t>
  </si>
  <si>
    <t>SEK - Coroa Sueca (em USD)</t>
  </si>
  <si>
    <t>SJC - Soja Financeira Cross Listing</t>
  </si>
  <si>
    <t>SOY - Soja FOB Santos</t>
  </si>
  <si>
    <t>SUZBO - Contrato Futuro de SUZB3</t>
  </si>
  <si>
    <t>SWI - Franco Suíço (em USD)</t>
  </si>
  <si>
    <t>T10 - US T-Note 10 anos</t>
  </si>
  <si>
    <t>TRY - Lira Turca (em Reais)</t>
  </si>
  <si>
    <t>TUQ - Lira Turca (em USD)</t>
  </si>
  <si>
    <t>USIMA - Contrato Futuro de USIM5</t>
  </si>
  <si>
    <t>VALEO - Contrato Futuro de VALE3</t>
  </si>
  <si>
    <t>VIIAO - Contrato Futuro de VIIA3</t>
  </si>
  <si>
    <t>WDO - Dólar Mini - WDO</t>
  </si>
  <si>
    <t>WEGEO - Contrato Futuro de WEGE3</t>
  </si>
  <si>
    <t>WEU - EURO MÍNI</t>
  </si>
  <si>
    <t>WIN - Ibovespa Mini</t>
  </si>
  <si>
    <t>WSP - Microcontrato Futuro de S&amp;P 500</t>
  </si>
  <si>
    <t>XFI - Futuro de IFIX</t>
  </si>
  <si>
    <t>ZAR - Rande da África do Sul (em Reais)</t>
  </si>
  <si>
    <t>(*) O PREÇO ANTERIOR JÁ ESTÁ CORRIGIDO PELA TAXA CETIP PARA DI1;</t>
  </si>
  <si>
    <t>PELA DIFERENÇA ENTRE TAXA CETIP E VARIAÇÃO DO DÓLAR PARA DDI;</t>
  </si>
  <si>
    <t>PELA DIFERENÇA ENTRE TAXA CETIP E VARIAÇÃO DO IGP-M; PARA DDM;</t>
  </si>
  <si>
    <t>PELA DIFERENÇA ENTRE TAXA CETIP E VARIAÇÃO DO IPCA PARA DAP.</t>
  </si>
  <si>
    <t>Valor do Ajuste Por Contrato</t>
  </si>
  <si>
    <r>
      <t xml:space="preserve">FC </t>
    </r>
    <r>
      <rPr>
        <b/>
        <vertAlign val="subscript"/>
        <sz val="10"/>
        <rFont val="Tahoma"/>
        <family val="2"/>
      </rPr>
      <t>PRT</t>
    </r>
  </si>
  <si>
    <r>
      <t xml:space="preserve">FC </t>
    </r>
    <r>
      <rPr>
        <b/>
        <vertAlign val="subscript"/>
        <sz val="10"/>
        <rFont val="Tahoma"/>
        <family val="2"/>
      </rPr>
      <t>CDI</t>
    </r>
  </si>
  <si>
    <t>Data Referência</t>
  </si>
  <si>
    <t>VNA</t>
  </si>
  <si>
    <t>IPCA</t>
  </si>
  <si>
    <t>Critério</t>
  </si>
  <si>
    <t>VNA Calculado</t>
  </si>
  <si>
    <t>Retorno a.d</t>
  </si>
  <si>
    <t>Fator Acum</t>
  </si>
  <si>
    <t>Retorno Acum</t>
  </si>
  <si>
    <t>P</t>
  </si>
  <si>
    <t>Contra o IPCA+</t>
  </si>
  <si>
    <t>Código Selic</t>
  </si>
  <si>
    <t>Data Ref</t>
  </si>
  <si>
    <t>P/F</t>
  </si>
  <si>
    <t>Válido a partir de</t>
  </si>
  <si>
    <t>Nome do Ativo</t>
  </si>
  <si>
    <t>Cotação de Ajuste de Futuro</t>
  </si>
  <si>
    <t>Valor do Ajuste por Contrato Futuro</t>
  </si>
  <si>
    <t>CUPOM DE IPCA - Q22</t>
  </si>
  <si>
    <t/>
  </si>
  <si>
    <t>As informações foram obtidas a partir de fontes públicas ou privadas consideradas confiáveis, cuja responsabilidade  pela correção e veracidade não  é assumida pela QUANTUM, pelo titular desta marca ou por</t>
  </si>
  <si>
    <t>qualquer das empresas  de seu grupo empresarial.  As informações  disponíveis, não devem  ser entendidas como colocação, distribuição  ou oferta de fundo de investimento  ou qualquer outro valor  mobiliário.</t>
  </si>
  <si>
    <t>Fundos de investimento não contam com a garantia do Administrador do fundo, Gestor da carteira, de qualquer mecanismo de seguro ou, ainda, do Fundo Garantidor de Créditos  FGC. Rentabilidade obtida no</t>
  </si>
  <si>
    <t>passado não representa garantia de rentabilidade futura. As estratégias com derivativos, utilizadas como parte da política de investimento de fundos de investimento, podem resultar em significativas perdas</t>
  </si>
  <si>
    <t>para seus cotistas superiores ao capital aplicado e a consequente obrigação do cotista de aportar recursos adicionais para cobrir o prejuízo do fundo. Ao investidor é recomendada a leitura cuidadosa do prospecto</t>
  </si>
  <si>
    <t>e regulamento do fundo de investimento  ao aplicar seus recursos. Para avaliação da performance de um fundo de investimento, é recomendável a análise de, no mínimo, 12 (doze) meses.</t>
  </si>
  <si>
    <t>Os valores exibidos estão em Real (BRL).</t>
  </si>
  <si>
    <t>Fonte: Quantum Axis.</t>
  </si>
  <si>
    <t xml:space="preserve">PU </t>
  </si>
  <si>
    <t>IPCA % a.m</t>
  </si>
  <si>
    <t>CUPOM DE IPCA - Q24</t>
  </si>
  <si>
    <t>15/08/2024</t>
  </si>
  <si>
    <t>Dia</t>
  </si>
  <si>
    <t>Taxa Compra Manhã</t>
  </si>
  <si>
    <t>Taxa Venda Manhã</t>
  </si>
  <si>
    <t>PU Compra Manhã</t>
  </si>
  <si>
    <t>PU Venda Manhã</t>
  </si>
  <si>
    <t>PU Base Manhã</t>
  </si>
  <si>
    <t>Taxa DAP</t>
  </si>
  <si>
    <t>PU B24 Princ</t>
  </si>
  <si>
    <t>Retorno B24</t>
  </si>
  <si>
    <t>PU Ajuste DAP</t>
  </si>
  <si>
    <t>Ajustes DAP</t>
  </si>
  <si>
    <t>Retorno IPCA+ Sintético</t>
  </si>
  <si>
    <t>B24 Casada / Travada</t>
  </si>
  <si>
    <t>Taxa B24 C</t>
  </si>
  <si>
    <t>Taxa B24 Princ C</t>
  </si>
  <si>
    <t>PU NTN-B</t>
  </si>
  <si>
    <t>https://www.b3.com.br/pt_br/market-data-e-indices/servicos-de-dados/market-data/historico/derivativos/ajustes-do-pregao/</t>
  </si>
  <si>
    <t>Nr.</t>
  </si>
  <si>
    <t>$ DAP</t>
  </si>
  <si>
    <t>PU Ant. Corrigido</t>
  </si>
  <si>
    <t>Carteira</t>
  </si>
  <si>
    <t>Venc DAP</t>
  </si>
  <si>
    <t>Fator</t>
  </si>
  <si>
    <t>20 DU</t>
  </si>
  <si>
    <t>a.a.</t>
  </si>
  <si>
    <t>Antes 15 do mês</t>
  </si>
  <si>
    <t>Após 15 do mês</t>
  </si>
  <si>
    <t>IPCA a.m</t>
  </si>
  <si>
    <t>du1</t>
  </si>
  <si>
    <t>du2</t>
  </si>
  <si>
    <r>
      <t xml:space="preserve">Data </t>
    </r>
    <r>
      <rPr>
        <b/>
        <vertAlign val="superscript"/>
        <sz val="11"/>
        <color theme="1"/>
        <rFont val="Calibri"/>
        <family val="2"/>
        <scheme val="minor"/>
      </rPr>
      <t>15</t>
    </r>
    <r>
      <rPr>
        <b/>
        <sz val="11"/>
        <color theme="1"/>
        <rFont val="Calibri"/>
        <family val="2"/>
        <scheme val="minor"/>
      </rPr>
      <t xml:space="preserve"> Mês Ant.</t>
    </r>
  </si>
  <si>
    <r>
      <t xml:space="preserve">VNA Mês Ant </t>
    </r>
    <r>
      <rPr>
        <b/>
        <vertAlign val="superscript"/>
        <sz val="11"/>
        <color theme="1"/>
        <rFont val="Calibri"/>
        <family val="2"/>
        <scheme val="minor"/>
      </rPr>
      <t>15</t>
    </r>
  </si>
  <si>
    <r>
      <t xml:space="preserve">Data </t>
    </r>
    <r>
      <rPr>
        <b/>
        <vertAlign val="superscript"/>
        <sz val="11"/>
        <color theme="1"/>
        <rFont val="Calibri"/>
        <family val="2"/>
        <scheme val="minor"/>
      </rPr>
      <t>15</t>
    </r>
    <r>
      <rPr>
        <b/>
        <sz val="11"/>
        <color theme="1"/>
        <rFont val="Calibri"/>
        <family val="2"/>
        <scheme val="minor"/>
      </rPr>
      <t xml:space="preserve"> Mês Atual</t>
    </r>
  </si>
  <si>
    <r>
      <t xml:space="preserve">VNA atual </t>
    </r>
    <r>
      <rPr>
        <b/>
        <vertAlign val="superscript"/>
        <sz val="11"/>
        <color theme="1"/>
        <rFont val="Calibri"/>
        <family val="2"/>
        <scheme val="minor"/>
      </rPr>
      <t>15</t>
    </r>
  </si>
  <si>
    <r>
      <t xml:space="preserve">Data </t>
    </r>
    <r>
      <rPr>
        <b/>
        <vertAlign val="superscript"/>
        <sz val="11"/>
        <color theme="1"/>
        <rFont val="Calibri"/>
        <family val="2"/>
        <scheme val="minor"/>
      </rPr>
      <t>15</t>
    </r>
    <r>
      <rPr>
        <b/>
        <sz val="11"/>
        <color theme="1"/>
        <rFont val="Calibri"/>
        <family val="2"/>
        <scheme val="minor"/>
      </rPr>
      <t xml:space="preserve"> Mês Post</t>
    </r>
  </si>
  <si>
    <t>PRT Calculado</t>
  </si>
  <si>
    <t>252 D.U.</t>
  </si>
  <si>
    <t>PU Trava</t>
  </si>
  <si>
    <t>%CDI</t>
  </si>
  <si>
    <t>Dif $ Bola</t>
  </si>
  <si>
    <t>Liq</t>
  </si>
  <si>
    <t>NTN-B Casada / Travada</t>
  </si>
  <si>
    <t>LFT Sintética</t>
  </si>
  <si>
    <t>NTN-B Sintético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</si>
</sst>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#,##0.000000"/>
    <numFmt numFmtId="165" formatCode="##0.#########"/>
    <numFmt numFmtId="166" formatCode="#,##0.000"/>
    <numFmt numFmtId="167" formatCode="0.000000000"/>
    <numFmt numFmtId="168" formatCode="#,##0.00000"/>
    <numFmt numFmtId="169" formatCode="0.0000"/>
    <numFmt numFmtId="170" formatCode="#,##0.0000"/>
    <numFmt numFmtId="171" formatCode="0.00_ ;[Red]\-0.00\ "/>
    <numFmt numFmtId="172" formatCode="#,##0.0"/>
    <numFmt numFmtId="173" formatCode="#,##0.00_ ;[Red]\-#,##0.00\ "/>
    <numFmt numFmtId="174" formatCode="##0.##"/>
    <numFmt numFmtId="175" formatCode="0.000"/>
  </numFmts>
  <fonts count="9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7"/>
      <color indexed="12"/>
      <name val="Arial"/>
      <family val="2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name val="Arial"/>
      <family val="2"/>
    </font>
    <font>
      <b/>
      <sz val="14"/>
      <color theme="5" tint="-0.249977111117893"/>
      <name val="Arial"/>
      <family val="2"/>
    </font>
    <font>
      <sz val="14"/>
      <name val="Arial"/>
      <family val="2"/>
    </font>
    <font>
      <sz val="14"/>
      <color rgb="FFFF0000"/>
      <name val="Wingdings 3"/>
      <family val="1"/>
      <charset val="2"/>
    </font>
    <font>
      <sz val="14"/>
      <color rgb="FFFF0000"/>
      <name val="Arial"/>
      <family val="2"/>
    </font>
    <font>
      <sz val="14"/>
      <color rgb="FF7030A0"/>
      <name val="Arial"/>
      <family val="2"/>
    </font>
    <font>
      <sz val="14"/>
      <color theme="6" tint="-0.499984740745262"/>
      <name val="Arial"/>
      <family val="2"/>
    </font>
    <font>
      <sz val="14"/>
      <color theme="9" tint="-0.499984740745262"/>
      <name val="Arial"/>
      <family val="2"/>
    </font>
    <font>
      <b/>
      <sz val="11"/>
      <color theme="9" tint="-0.499984740745262"/>
      <name val="Arial"/>
      <family val="2"/>
    </font>
    <font>
      <b/>
      <sz val="14"/>
      <color theme="8" tint="-0.249977111117893"/>
      <name val="Arial"/>
      <family val="2"/>
    </font>
    <font>
      <b/>
      <sz val="9"/>
      <color theme="9" tint="-0.249977111117893"/>
      <name val="Arial"/>
      <family val="2"/>
    </font>
    <font>
      <b/>
      <sz val="10"/>
      <name val="Arial"/>
      <family val="2"/>
    </font>
    <font>
      <u/>
      <sz val="10"/>
      <color theme="10"/>
      <name val="Arial"/>
      <family val="2"/>
    </font>
    <font>
      <u/>
      <sz val="12"/>
      <color theme="10"/>
      <name val="Arial"/>
      <family val="2"/>
    </font>
    <font>
      <b/>
      <sz val="14"/>
      <color rgb="FFFF0000"/>
      <name val="Arial"/>
      <family val="2"/>
    </font>
    <font>
      <b/>
      <sz val="14"/>
      <color theme="3" tint="0.39997558519241921"/>
      <name val="Arial"/>
      <family val="2"/>
    </font>
    <font>
      <b/>
      <sz val="12"/>
      <color rgb="FFFF0000"/>
      <name val="Arial"/>
      <family val="2"/>
    </font>
    <font>
      <b/>
      <sz val="12"/>
      <color rgb="FFFF0000"/>
      <name val="Symbol"/>
      <family val="1"/>
      <charset val="2"/>
    </font>
    <font>
      <b/>
      <sz val="10.199999999999999"/>
      <color rgb="FFFF0000"/>
      <name val="Arial"/>
      <family val="2"/>
    </font>
    <font>
      <u/>
      <sz val="14"/>
      <color theme="10"/>
      <name val="Arial"/>
      <family val="2"/>
    </font>
    <font>
      <b/>
      <sz val="20"/>
      <color rgb="FFFF0000"/>
      <name val="Wingdings 3"/>
      <family val="1"/>
      <charset val="2"/>
    </font>
    <font>
      <sz val="16"/>
      <color rgb="FFFF0000"/>
      <name val="Berlin Sans FB Demi"/>
      <family val="2"/>
    </font>
    <font>
      <sz val="16"/>
      <color theme="2" tint="-0.749992370372631"/>
      <name val="Berlin Sans FB Demi"/>
      <family val="2"/>
    </font>
    <font>
      <sz val="16"/>
      <color theme="9"/>
      <name val="Berlin Sans FB Demi"/>
      <family val="2"/>
    </font>
    <font>
      <b/>
      <sz val="13.5"/>
      <name val="Arial"/>
      <family val="2"/>
    </font>
    <font>
      <b/>
      <sz val="10"/>
      <name val="Tahoma"/>
      <family val="2"/>
    </font>
    <font>
      <sz val="11"/>
      <color theme="1"/>
      <name val="Book Antiqua"/>
      <family val="2"/>
    </font>
    <font>
      <sz val="10"/>
      <name val="Tahoma"/>
      <family val="2"/>
    </font>
    <font>
      <vertAlign val="superscript"/>
      <sz val="10"/>
      <name val="Arial"/>
      <family val="2"/>
    </font>
    <font>
      <b/>
      <sz val="10"/>
      <color theme="0"/>
      <name val="Tahoma"/>
      <family val="2"/>
    </font>
    <font>
      <b/>
      <sz val="10"/>
      <color theme="0"/>
      <name val="Arial"/>
      <family val="2"/>
    </font>
    <font>
      <sz val="12"/>
      <name val="Arial"/>
      <family val="2"/>
    </font>
    <font>
      <b/>
      <sz val="12"/>
      <color theme="0"/>
      <name val="Arial"/>
      <family val="2"/>
    </font>
    <font>
      <sz val="11"/>
      <name val="Tahoma"/>
      <family val="2"/>
    </font>
    <font>
      <sz val="10"/>
      <color theme="1"/>
      <name val="Calibri"/>
      <family val="2"/>
      <scheme val="minor"/>
    </font>
    <font>
      <b/>
      <sz val="14"/>
      <color theme="0"/>
      <name val="Arial"/>
      <family val="2"/>
    </font>
    <font>
      <sz val="12"/>
      <name val="Tahoma"/>
      <family val="2"/>
    </font>
    <font>
      <b/>
      <vertAlign val="superscript"/>
      <sz val="10"/>
      <name val="Tahoma"/>
      <family val="2"/>
    </font>
    <font>
      <b/>
      <sz val="12"/>
      <name val="Tahoma"/>
      <family val="2"/>
    </font>
    <font>
      <b/>
      <sz val="18"/>
      <color theme="0"/>
      <name val="Calibri"/>
      <family val="2"/>
      <scheme val="minor"/>
    </font>
    <font>
      <sz val="18"/>
      <color theme="1"/>
      <name val="Calibri"/>
      <family val="2"/>
      <scheme val="minor"/>
    </font>
    <font>
      <sz val="18"/>
      <color theme="0"/>
      <name val="Arial Rounded MT Bold"/>
      <family val="2"/>
    </font>
    <font>
      <b/>
      <sz val="72"/>
      <color theme="0"/>
      <name val="Arial Rounded MT Bold"/>
      <family val="2"/>
    </font>
    <font>
      <sz val="72"/>
      <color theme="1"/>
      <name val="Calibri"/>
      <family val="2"/>
      <scheme val="minor"/>
    </font>
    <font>
      <sz val="18"/>
      <name val="Arial Rounded MT Bold"/>
      <family val="2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2"/>
      <color theme="0"/>
      <name val="Tahoma"/>
      <family val="2"/>
    </font>
    <font>
      <sz val="12"/>
      <color theme="0"/>
      <name val="Tahoma"/>
      <family val="2"/>
    </font>
    <font>
      <b/>
      <sz val="11"/>
      <color theme="0"/>
      <name val="Tahoma"/>
      <family val="2"/>
    </font>
    <font>
      <b/>
      <sz val="8"/>
      <name val="Arial Rounded MT Bold"/>
      <family val="2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rgb="FFFF0000"/>
      <name val="Calibri"/>
      <family val="2"/>
      <scheme val="minor"/>
    </font>
    <font>
      <sz val="11"/>
      <color theme="5" tint="-0.499984740745262"/>
      <name val="Calibri"/>
      <family val="2"/>
      <scheme val="minor"/>
    </font>
    <font>
      <sz val="11"/>
      <color theme="8" tint="-0.499984740745262"/>
      <name val="Calibri"/>
      <family val="2"/>
      <scheme val="minor"/>
    </font>
    <font>
      <b/>
      <sz val="11"/>
      <color theme="8" tint="-0.499984740745262"/>
      <name val="Calibri"/>
      <family val="2"/>
      <scheme val="minor"/>
    </font>
    <font>
      <b/>
      <sz val="18"/>
      <color theme="5" tint="-0.249977111117893"/>
      <name val="Arial"/>
      <family val="2"/>
    </font>
    <font>
      <b/>
      <sz val="10"/>
      <color rgb="FF002060"/>
      <name val="Calibri"/>
      <family val="2"/>
      <scheme val="minor"/>
    </font>
    <font>
      <b/>
      <vertAlign val="subscript"/>
      <sz val="10"/>
      <color rgb="FF002060"/>
      <name val="Calibri"/>
      <family val="2"/>
      <scheme val="minor"/>
    </font>
    <font>
      <b/>
      <vertAlign val="subscript"/>
      <sz val="10"/>
      <name val="Tahoma"/>
      <family val="2"/>
    </font>
    <font>
      <b/>
      <sz val="11"/>
      <name val="Tahoma"/>
      <family val="2"/>
    </font>
    <font>
      <b/>
      <sz val="12"/>
      <color rgb="FF7030A0"/>
      <name val="Arial Rounded MT Bold"/>
      <family val="2"/>
    </font>
    <font>
      <b/>
      <sz val="12"/>
      <color rgb="FFFF0000"/>
      <name val="Arial Rounded MT Bold"/>
      <family val="2"/>
    </font>
    <font>
      <b/>
      <sz val="10"/>
      <color rgb="FF0070C0"/>
      <name val="Calibri"/>
      <family val="2"/>
      <scheme val="minor"/>
    </font>
    <font>
      <sz val="11"/>
      <color rgb="FF000000"/>
      <name val="Calibri"/>
      <family val="2"/>
    </font>
    <font>
      <sz val="7"/>
      <color rgb="FF000000"/>
      <name val="Verdana"/>
      <family val="2"/>
    </font>
    <font>
      <b/>
      <sz val="10"/>
      <color rgb="FFFF0000"/>
      <name val="Arial"/>
      <family val="2"/>
    </font>
    <font>
      <u/>
      <sz val="11"/>
      <color theme="10"/>
      <name val="Calibri"/>
      <family val="2"/>
      <scheme val="minor"/>
    </font>
    <font>
      <sz val="8"/>
      <color theme="1"/>
      <name val="Calibri"/>
      <family val="2"/>
      <scheme val="minor"/>
    </font>
    <font>
      <i/>
      <sz val="9"/>
      <color theme="8" tint="-0.499984740745262"/>
      <name val="Calibri"/>
      <family val="2"/>
      <scheme val="minor"/>
    </font>
    <font>
      <b/>
      <sz val="11"/>
      <color rgb="FF7030A0"/>
      <name val="Arial"/>
      <family val="2"/>
    </font>
    <font>
      <sz val="11"/>
      <name val="Arial"/>
      <family val="2"/>
    </font>
    <font>
      <b/>
      <sz val="14"/>
      <color theme="3" tint="-0.249977111117893"/>
      <name val="Arial Rounded MT Bold"/>
      <family val="2"/>
    </font>
    <font>
      <b/>
      <sz val="16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1"/>
      <color indexed="8"/>
      <name val="Calibri"/>
      <family val="2"/>
    </font>
    <font>
      <b/>
      <vertAlign val="superscript"/>
      <sz val="11"/>
      <color theme="1"/>
      <name val="Calibri"/>
      <family val="2"/>
      <scheme val="minor"/>
    </font>
    <font>
      <sz val="11"/>
      <color theme="1"/>
      <name val="Arial Rounded MT Bold"/>
      <family val="2"/>
    </font>
    <font>
      <sz val="10"/>
      <color theme="1"/>
      <name val="Arial Rounded MT Bold"/>
      <family val="2"/>
    </font>
    <font>
      <b/>
      <sz val="10"/>
      <color theme="0"/>
      <name val="Calibri"/>
      <family val="2"/>
      <scheme val="minor"/>
    </font>
    <font>
      <sz val="11"/>
      <color rgb="FF0070C0"/>
      <name val="Calibri"/>
      <family val="2"/>
      <scheme val="minor"/>
    </font>
    <font>
      <b/>
      <sz val="11"/>
      <color rgb="FF0070C0"/>
      <name val="Calibri"/>
      <family val="2"/>
      <scheme val="minor"/>
    </font>
    <font>
      <sz val="12"/>
      <color theme="1"/>
      <name val="Arial Rounded MT Bold"/>
      <family val="2"/>
    </font>
    <font>
      <b/>
      <sz val="11"/>
      <color rgb="FFFF0000"/>
      <name val="Tahoma"/>
      <family val="2"/>
    </font>
    <font>
      <b/>
      <sz val="11"/>
      <color rgb="FFFF0000"/>
      <name val="Calibri"/>
      <family val="2"/>
      <scheme val="minor"/>
    </font>
    <font>
      <b/>
      <sz val="11"/>
      <color theme="5" tint="-0.249977111117893"/>
      <name val="Tahoma"/>
      <family val="2"/>
    </font>
    <font>
      <sz val="11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9"/>
      <color theme="3" tint="-0.249977111117893"/>
      <name val="Calibri"/>
      <family val="2"/>
      <scheme val="minor"/>
    </font>
    <font>
      <sz val="14"/>
      <name val="Tahoma"/>
      <family val="2"/>
    </font>
    <font>
      <b/>
      <sz val="9"/>
      <color theme="0"/>
      <name val="Calibri"/>
      <family val="2"/>
      <scheme val="minor"/>
    </font>
  </fonts>
  <fills count="4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E18B"/>
        <bgColor indexed="64"/>
      </patternFill>
    </fill>
    <fill>
      <patternFill patternType="solid">
        <fgColor theme="3" tint="-0.49998474074526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CD2D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2" tint="-0.499984740745262"/>
        <bgColor indexed="64"/>
      </patternFill>
    </fill>
  </fills>
  <borders count="10">
    <border>
      <left/>
      <right/>
      <top/>
      <bottom/>
      <diagonal/>
    </border>
    <border>
      <left style="medium">
        <color theme="1" tint="0.499984740745262"/>
      </left>
      <right style="medium">
        <color theme="1" tint="0.499984740745262"/>
      </right>
      <top style="thin">
        <color theme="1" tint="0.499984740745262"/>
      </top>
      <bottom style="medium">
        <color theme="1" tint="0.499984740745262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/>
      <bottom style="thick">
        <color auto="1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9">
    <xf numFmtId="0" fontId="0" fillId="0" borderId="0"/>
    <xf numFmtId="0" fontId="1" fillId="0" borderId="0"/>
    <xf numFmtId="0" fontId="1" fillId="0" borderId="0"/>
    <xf numFmtId="0" fontId="17" fillId="0" borderId="0" applyNumberFormat="0" applyFill="0" applyBorder="0" applyAlignment="0" applyProtection="0"/>
    <xf numFmtId="9" fontId="1" fillId="0" borderId="0" applyFont="0" applyFill="0" applyBorder="0" applyAlignment="0" applyProtection="0"/>
    <xf numFmtId="0" fontId="31" fillId="0" borderId="0"/>
    <xf numFmtId="9" fontId="50" fillId="0" borderId="0" applyFont="0" applyFill="0" applyBorder="0" applyAlignment="0" applyProtection="0"/>
    <xf numFmtId="0" fontId="73" fillId="0" borderId="0" applyNumberFormat="0" applyFill="0" applyBorder="0" applyAlignment="0" applyProtection="0"/>
    <xf numFmtId="0" fontId="81" fillId="0" borderId="0"/>
  </cellStyleXfs>
  <cellXfs count="242">
    <xf numFmtId="0" fontId="0" fillId="0" borderId="0" xfId="0"/>
    <xf numFmtId="14" fontId="2" fillId="0" borderId="0" xfId="1" applyNumberFormat="1" applyFont="1" applyAlignment="1">
      <alignment horizontal="center" vertical="center"/>
    </xf>
    <xf numFmtId="0" fontId="3" fillId="0" borderId="0" xfId="0" applyFont="1"/>
    <xf numFmtId="14" fontId="5" fillId="7" borderId="1" xfId="2" applyNumberFormat="1" applyFont="1" applyFill="1" applyBorder="1" applyAlignment="1">
      <alignment horizontal="left" vertical="center" indent="1"/>
    </xf>
    <xf numFmtId="0" fontId="7" fillId="8" borderId="0" xfId="2" applyFont="1" applyFill="1" applyAlignment="1">
      <alignment horizontal="left" vertical="center"/>
    </xf>
    <xf numFmtId="0" fontId="7" fillId="8" borderId="0" xfId="2" applyFont="1" applyFill="1"/>
    <xf numFmtId="0" fontId="14" fillId="8" borderId="0" xfId="2" applyFont="1" applyFill="1" applyAlignment="1">
      <alignment vertical="center"/>
    </xf>
    <xf numFmtId="0" fontId="15" fillId="8" borderId="0" xfId="2" applyFont="1" applyFill="1" applyAlignment="1">
      <alignment horizontal="left" vertical="center"/>
    </xf>
    <xf numFmtId="0" fontId="7" fillId="0" borderId="0" xfId="2" applyFont="1"/>
    <xf numFmtId="0" fontId="1" fillId="8" borderId="0" xfId="2" applyFill="1"/>
    <xf numFmtId="0" fontId="18" fillId="8" borderId="0" xfId="3" applyFont="1" applyFill="1"/>
    <xf numFmtId="0" fontId="1" fillId="9" borderId="0" xfId="2" applyFill="1" applyAlignment="1">
      <alignment horizontal="center" vertical="center" wrapText="1"/>
    </xf>
    <xf numFmtId="14" fontId="5" fillId="7" borderId="1" xfId="2" applyNumberFormat="1" applyFont="1" applyFill="1" applyBorder="1" applyAlignment="1">
      <alignment horizontal="center" vertical="center"/>
    </xf>
    <xf numFmtId="0" fontId="19" fillId="8" borderId="0" xfId="2" applyFont="1" applyFill="1"/>
    <xf numFmtId="0" fontId="9" fillId="8" borderId="0" xfId="2" applyFont="1" applyFill="1" applyAlignment="1">
      <alignment horizontal="left" vertical="center"/>
    </xf>
    <xf numFmtId="0" fontId="21" fillId="8" borderId="0" xfId="2" applyFont="1" applyFill="1" applyAlignment="1">
      <alignment horizontal="left" indent="1"/>
    </xf>
    <xf numFmtId="9" fontId="7" fillId="8" borderId="0" xfId="4" applyFont="1" applyFill="1"/>
    <xf numFmtId="0" fontId="24" fillId="8" borderId="0" xfId="3" applyFont="1" applyFill="1"/>
    <xf numFmtId="0" fontId="1" fillId="0" borderId="0" xfId="2"/>
    <xf numFmtId="0" fontId="16" fillId="8" borderId="0" xfId="2" applyFont="1" applyFill="1" applyAlignment="1">
      <alignment horizontal="center" vertical="center" wrapText="1"/>
    </xf>
    <xf numFmtId="14" fontId="32" fillId="9" borderId="3" xfId="5" applyNumberFormat="1" applyFont="1" applyFill="1" applyBorder="1" applyAlignment="1" applyProtection="1">
      <alignment horizontal="center" vertical="center"/>
      <protection hidden="1"/>
    </xf>
    <xf numFmtId="3" fontId="32" fillId="10" borderId="4" xfId="2" applyNumberFormat="1" applyFont="1" applyFill="1" applyBorder="1" applyAlignment="1" applyProtection="1">
      <alignment horizontal="center" vertical="center"/>
      <protection hidden="1"/>
    </xf>
    <xf numFmtId="4" fontId="32" fillId="10" borderId="5" xfId="2" applyNumberFormat="1" applyFont="1" applyFill="1" applyBorder="1" applyAlignment="1" applyProtection="1">
      <alignment horizontal="center" vertical="center"/>
      <protection hidden="1"/>
    </xf>
    <xf numFmtId="0" fontId="34" fillId="6" borderId="2" xfId="2" applyFont="1" applyFill="1" applyBorder="1" applyAlignment="1" applyProtection="1">
      <alignment horizontal="center" vertical="center" wrapText="1"/>
      <protection hidden="1"/>
    </xf>
    <xf numFmtId="0" fontId="29" fillId="3" borderId="0" xfId="2" applyFont="1" applyFill="1" applyProtection="1">
      <protection locked="0"/>
    </xf>
    <xf numFmtId="0" fontId="1" fillId="3" borderId="0" xfId="2" applyFill="1" applyProtection="1">
      <protection locked="0"/>
    </xf>
    <xf numFmtId="0" fontId="1" fillId="3" borderId="0" xfId="2" applyFill="1" applyAlignment="1" applyProtection="1">
      <alignment horizontal="center"/>
      <protection locked="0"/>
    </xf>
    <xf numFmtId="0" fontId="1" fillId="3" borderId="0" xfId="2" applyFill="1" applyAlignment="1" applyProtection="1">
      <alignment wrapText="1"/>
      <protection locked="0"/>
    </xf>
    <xf numFmtId="3" fontId="1" fillId="3" borderId="0" xfId="2" applyNumberFormat="1" applyFill="1" applyAlignment="1" applyProtection="1">
      <alignment wrapText="1"/>
      <protection locked="0"/>
    </xf>
    <xf numFmtId="4" fontId="1" fillId="3" borderId="0" xfId="2" applyNumberFormat="1" applyFill="1" applyAlignment="1" applyProtection="1">
      <alignment wrapText="1"/>
      <protection locked="0"/>
    </xf>
    <xf numFmtId="3" fontId="1" fillId="3" borderId="0" xfId="2" applyNumberFormat="1" applyFill="1" applyProtection="1">
      <protection locked="0"/>
    </xf>
    <xf numFmtId="4" fontId="1" fillId="3" borderId="0" xfId="2" applyNumberFormat="1" applyFill="1" applyProtection="1">
      <protection locked="0"/>
    </xf>
    <xf numFmtId="0" fontId="33" fillId="3" borderId="0" xfId="2" applyFont="1" applyFill="1" applyProtection="1">
      <protection locked="0"/>
    </xf>
    <xf numFmtId="14" fontId="6" fillId="11" borderId="1" xfId="2" applyNumberFormat="1" applyFont="1" applyFill="1" applyBorder="1" applyAlignment="1">
      <alignment horizontal="left" vertical="center" indent="1"/>
    </xf>
    <xf numFmtId="14" fontId="13" fillId="11" borderId="1" xfId="2" applyNumberFormat="1" applyFont="1" applyFill="1" applyBorder="1" applyAlignment="1">
      <alignment horizontal="center" vertical="center"/>
    </xf>
    <xf numFmtId="0" fontId="35" fillId="12" borderId="0" xfId="2" applyFont="1" applyFill="1" applyAlignment="1" applyProtection="1">
      <alignment horizontal="center" vertical="center" wrapText="1"/>
      <protection locked="0"/>
    </xf>
    <xf numFmtId="0" fontId="35" fillId="13" borderId="0" xfId="2" applyFont="1" applyFill="1" applyAlignment="1">
      <alignment horizontal="center" vertical="center" wrapText="1"/>
    </xf>
    <xf numFmtId="0" fontId="1" fillId="9" borderId="0" xfId="2" quotePrefix="1" applyFill="1" applyAlignment="1">
      <alignment horizontal="center" vertical="center"/>
    </xf>
    <xf numFmtId="4" fontId="37" fillId="12" borderId="0" xfId="2" applyNumberFormat="1" applyFont="1" applyFill="1"/>
    <xf numFmtId="0" fontId="39" fillId="0" borderId="0" xfId="0" applyFont="1"/>
    <xf numFmtId="0" fontId="40" fillId="12" borderId="0" xfId="2" applyFont="1" applyFill="1" applyAlignment="1" applyProtection="1">
      <alignment horizontal="center" vertical="center" wrapText="1"/>
      <protection locked="0"/>
    </xf>
    <xf numFmtId="14" fontId="4" fillId="3" borderId="0" xfId="0" applyNumberFormat="1" applyFont="1" applyFill="1"/>
    <xf numFmtId="14" fontId="41" fillId="9" borderId="3" xfId="5" applyNumberFormat="1" applyFont="1" applyFill="1" applyBorder="1" applyAlignment="1" applyProtection="1">
      <alignment horizontal="center" vertical="center"/>
      <protection hidden="1"/>
    </xf>
    <xf numFmtId="3" fontId="41" fillId="10" borderId="4" xfId="2" applyNumberFormat="1" applyFont="1" applyFill="1" applyBorder="1" applyAlignment="1" applyProtection="1">
      <alignment horizontal="center" vertical="center"/>
      <protection hidden="1"/>
    </xf>
    <xf numFmtId="4" fontId="41" fillId="10" borderId="5" xfId="2" applyNumberFormat="1" applyFont="1" applyFill="1" applyBorder="1" applyAlignment="1" applyProtection="1">
      <alignment horizontal="center" vertical="center"/>
      <protection hidden="1"/>
    </xf>
    <xf numFmtId="0" fontId="36" fillId="3" borderId="0" xfId="2" applyFont="1" applyFill="1" applyAlignment="1" applyProtection="1">
      <alignment horizontal="center" vertical="center" wrapText="1"/>
      <protection locked="0"/>
    </xf>
    <xf numFmtId="3" fontId="36" fillId="3" borderId="0" xfId="2" applyNumberFormat="1" applyFont="1" applyFill="1" applyAlignment="1" applyProtection="1">
      <alignment horizontal="center" vertical="center" wrapText="1"/>
      <protection locked="0"/>
    </xf>
    <xf numFmtId="4" fontId="36" fillId="3" borderId="0" xfId="2" applyNumberFormat="1" applyFont="1" applyFill="1" applyAlignment="1" applyProtection="1">
      <alignment horizontal="center" vertical="center" wrapText="1"/>
      <protection locked="0"/>
    </xf>
    <xf numFmtId="0" fontId="16" fillId="2" borderId="0" xfId="2" applyFont="1" applyFill="1" applyAlignment="1" applyProtection="1">
      <alignment horizontal="center" vertical="center" wrapText="1"/>
      <protection locked="0"/>
    </xf>
    <xf numFmtId="0" fontId="30" fillId="16" borderId="0" xfId="5" applyFont="1" applyFill="1" applyAlignment="1">
      <alignment horizontal="center" vertical="center" wrapText="1"/>
    </xf>
    <xf numFmtId="0" fontId="30" fillId="15" borderId="0" xfId="5" applyFont="1" applyFill="1" applyAlignment="1">
      <alignment horizontal="center" vertical="center" wrapText="1"/>
    </xf>
    <xf numFmtId="3" fontId="32" fillId="17" borderId="4" xfId="0" applyNumberFormat="1" applyFont="1" applyFill="1" applyBorder="1" applyAlignment="1" applyProtection="1">
      <alignment horizontal="center" vertical="center"/>
      <protection hidden="1"/>
    </xf>
    <xf numFmtId="4" fontId="36" fillId="2" borderId="0" xfId="2" applyNumberFormat="1" applyFont="1" applyFill="1" applyAlignment="1" applyProtection="1">
      <alignment horizontal="center" vertical="center" wrapText="1"/>
      <protection locked="0"/>
    </xf>
    <xf numFmtId="164" fontId="32" fillId="10" borderId="5" xfId="0" applyNumberFormat="1" applyFont="1" applyFill="1" applyBorder="1" applyAlignment="1" applyProtection="1">
      <alignment horizontal="center" vertical="center"/>
      <protection hidden="1"/>
    </xf>
    <xf numFmtId="4" fontId="32" fillId="11" borderId="0" xfId="5" applyNumberFormat="1" applyFont="1" applyFill="1" applyAlignment="1">
      <alignment horizontal="center" vertical="center"/>
    </xf>
    <xf numFmtId="0" fontId="43" fillId="7" borderId="0" xfId="5" applyFont="1" applyFill="1" applyAlignment="1">
      <alignment horizontal="center" vertical="center" wrapText="1"/>
    </xf>
    <xf numFmtId="166" fontId="41" fillId="3" borderId="5" xfId="0" applyNumberFormat="1" applyFont="1" applyFill="1" applyBorder="1" applyAlignment="1" applyProtection="1">
      <alignment horizontal="center" vertical="center"/>
      <protection hidden="1"/>
    </xf>
    <xf numFmtId="165" fontId="38" fillId="3" borderId="0" xfId="5" applyNumberFormat="1" applyFont="1" applyFill="1" applyAlignment="1">
      <alignment horizontal="center" vertical="center"/>
    </xf>
    <xf numFmtId="4" fontId="32" fillId="8" borderId="0" xfId="5" applyNumberFormat="1" applyFont="1" applyFill="1" applyAlignment="1">
      <alignment horizontal="center" vertical="center"/>
    </xf>
    <xf numFmtId="165" fontId="32" fillId="8" borderId="0" xfId="5" applyNumberFormat="1" applyFont="1" applyFill="1" applyAlignment="1">
      <alignment horizontal="center" vertical="center"/>
    </xf>
    <xf numFmtId="14" fontId="32" fillId="8" borderId="0" xfId="5" applyNumberFormat="1" applyFont="1" applyFill="1" applyAlignment="1">
      <alignment horizontal="center" vertical="center"/>
    </xf>
    <xf numFmtId="0" fontId="34" fillId="18" borderId="0" xfId="5" applyFont="1" applyFill="1" applyAlignment="1">
      <alignment horizontal="center" vertical="center" wrapText="1"/>
    </xf>
    <xf numFmtId="2" fontId="44" fillId="19" borderId="0" xfId="0" applyNumberFormat="1" applyFont="1" applyFill="1" applyAlignment="1">
      <alignment horizontal="center" vertical="center"/>
    </xf>
    <xf numFmtId="0" fontId="45" fillId="8" borderId="0" xfId="0" applyFont="1" applyFill="1"/>
    <xf numFmtId="0" fontId="48" fillId="8" borderId="0" xfId="0" applyFont="1" applyFill="1"/>
    <xf numFmtId="0" fontId="0" fillId="8" borderId="0" xfId="0" applyFill="1"/>
    <xf numFmtId="4" fontId="44" fillId="18" borderId="0" xfId="0" applyNumberFormat="1" applyFont="1" applyFill="1" applyAlignment="1">
      <alignment horizontal="center" vertical="center"/>
    </xf>
    <xf numFmtId="0" fontId="39" fillId="8" borderId="0" xfId="0" applyFont="1" applyFill="1"/>
    <xf numFmtId="4" fontId="0" fillId="0" borderId="0" xfId="0" applyNumberFormat="1"/>
    <xf numFmtId="4" fontId="0" fillId="0" borderId="0" xfId="0" applyNumberFormat="1" applyAlignment="1">
      <alignment horizontal="center" vertical="center"/>
    </xf>
    <xf numFmtId="4" fontId="41" fillId="10" borderId="0" xfId="0" applyNumberFormat="1" applyFont="1" applyFill="1" applyAlignment="1" applyProtection="1">
      <alignment horizontal="center" vertical="center"/>
      <protection hidden="1"/>
    </xf>
    <xf numFmtId="10" fontId="41" fillId="10" borderId="0" xfId="6" applyNumberFormat="1" applyFont="1" applyFill="1" applyBorder="1" applyAlignment="1" applyProtection="1">
      <alignment horizontal="center" vertical="center"/>
      <protection hidden="1"/>
    </xf>
    <xf numFmtId="0" fontId="52" fillId="25" borderId="0" xfId="5" applyFont="1" applyFill="1" applyAlignment="1">
      <alignment horizontal="center" vertical="center" wrapText="1"/>
    </xf>
    <xf numFmtId="0" fontId="52" fillId="4" borderId="0" xfId="5" applyFont="1" applyFill="1" applyAlignment="1">
      <alignment horizontal="center" vertical="center" wrapText="1"/>
    </xf>
    <xf numFmtId="10" fontId="53" fillId="13" borderId="0" xfId="6" applyNumberFormat="1" applyFont="1" applyFill="1" applyBorder="1" applyAlignment="1" applyProtection="1">
      <alignment horizontal="center" vertical="center"/>
      <protection hidden="1"/>
    </xf>
    <xf numFmtId="0" fontId="54" fillId="13" borderId="0" xfId="5" applyFont="1" applyFill="1" applyAlignment="1">
      <alignment horizontal="center" vertical="center" wrapText="1"/>
    </xf>
    <xf numFmtId="4" fontId="41" fillId="15" borderId="0" xfId="0" applyNumberFormat="1" applyFont="1" applyFill="1" applyAlignment="1" applyProtection="1">
      <alignment horizontal="center" vertical="center"/>
      <protection hidden="1"/>
    </xf>
    <xf numFmtId="4" fontId="0" fillId="16" borderId="0" xfId="0" applyNumberFormat="1" applyFill="1" applyAlignment="1">
      <alignment horizontal="center" vertical="center"/>
    </xf>
    <xf numFmtId="0" fontId="51" fillId="26" borderId="0" xfId="0" applyFont="1" applyFill="1" applyAlignment="1">
      <alignment horizontal="center"/>
    </xf>
    <xf numFmtId="0" fontId="55" fillId="8" borderId="6" xfId="5" applyFont="1" applyFill="1" applyBorder="1" applyAlignment="1">
      <alignment horizontal="center" vertical="center" wrapText="1"/>
    </xf>
    <xf numFmtId="0" fontId="55" fillId="27" borderId="6" xfId="5" applyFont="1" applyFill="1" applyBorder="1" applyAlignment="1">
      <alignment horizontal="center" vertical="center" wrapText="1"/>
    </xf>
    <xf numFmtId="0" fontId="55" fillId="28" borderId="6" xfId="5" applyFont="1" applyFill="1" applyBorder="1" applyAlignment="1">
      <alignment horizontal="center" vertical="center" wrapText="1"/>
    </xf>
    <xf numFmtId="0" fontId="55" fillId="3" borderId="6" xfId="5" applyFont="1" applyFill="1" applyBorder="1" applyAlignment="1">
      <alignment horizontal="center" vertical="center" wrapText="1"/>
    </xf>
    <xf numFmtId="14" fontId="0" fillId="0" borderId="0" xfId="0" applyNumberFormat="1"/>
    <xf numFmtId="14" fontId="0" fillId="0" borderId="0" xfId="0" applyNumberFormat="1" applyAlignment="1">
      <alignment horizontal="center" vertical="center"/>
    </xf>
    <xf numFmtId="168" fontId="0" fillId="0" borderId="0" xfId="0" applyNumberFormat="1"/>
    <xf numFmtId="2" fontId="0" fillId="3" borderId="0" xfId="0" applyNumberFormat="1" applyFill="1"/>
    <xf numFmtId="0" fontId="51" fillId="29" borderId="0" xfId="0" applyFont="1" applyFill="1" applyAlignment="1">
      <alignment horizontal="center" vertical="center"/>
    </xf>
    <xf numFmtId="168" fontId="58" fillId="2" borderId="0" xfId="0" applyNumberFormat="1" applyFont="1" applyFill="1"/>
    <xf numFmtId="10" fontId="58" fillId="2" borderId="0" xfId="6" applyNumberFormat="1" applyFont="1" applyFill="1"/>
    <xf numFmtId="14" fontId="0" fillId="9" borderId="0" xfId="0" applyNumberFormat="1" applyFill="1"/>
    <xf numFmtId="1" fontId="0" fillId="9" borderId="0" xfId="0" applyNumberFormat="1" applyFill="1" applyAlignment="1">
      <alignment horizontal="center" vertical="center"/>
    </xf>
    <xf numFmtId="4" fontId="0" fillId="9" borderId="0" xfId="0" applyNumberFormat="1" applyFill="1"/>
    <xf numFmtId="168" fontId="0" fillId="9" borderId="0" xfId="0" applyNumberFormat="1" applyFill="1"/>
    <xf numFmtId="2" fontId="0" fillId="9" borderId="0" xfId="0" applyNumberFormat="1" applyFill="1"/>
    <xf numFmtId="0" fontId="55" fillId="15" borderId="6" xfId="5" applyFont="1" applyFill="1" applyBorder="1" applyAlignment="1">
      <alignment horizontal="center" vertical="center" wrapText="1"/>
    </xf>
    <xf numFmtId="0" fontId="57" fillId="0" borderId="0" xfId="0" applyFont="1"/>
    <xf numFmtId="170" fontId="0" fillId="9" borderId="0" xfId="0" applyNumberFormat="1" applyFill="1"/>
    <xf numFmtId="166" fontId="59" fillId="0" borderId="0" xfId="0" applyNumberFormat="1" applyFont="1"/>
    <xf numFmtId="169" fontId="61" fillId="9" borderId="0" xfId="0" applyNumberFormat="1" applyFont="1" applyFill="1"/>
    <xf numFmtId="169" fontId="60" fillId="16" borderId="0" xfId="0" applyNumberFormat="1" applyFont="1" applyFill="1" applyAlignment="1">
      <alignment horizontal="center" vertical="center"/>
    </xf>
    <xf numFmtId="166" fontId="62" fillId="5" borderId="1" xfId="4" applyNumberFormat="1" applyFont="1" applyFill="1" applyBorder="1" applyAlignment="1" applyProtection="1">
      <alignment horizontal="center" vertical="center"/>
      <protection locked="0"/>
    </xf>
    <xf numFmtId="166" fontId="4" fillId="5" borderId="0" xfId="0" applyNumberFormat="1" applyFont="1" applyFill="1"/>
    <xf numFmtId="0" fontId="63" fillId="0" borderId="0" xfId="0" applyFont="1" applyAlignment="1">
      <alignment horizontal="right"/>
    </xf>
    <xf numFmtId="167" fontId="63" fillId="0" borderId="0" xfId="0" applyNumberFormat="1" applyFont="1"/>
    <xf numFmtId="0" fontId="57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4" fontId="0" fillId="0" borderId="0" xfId="0" applyNumberFormat="1" applyAlignment="1">
      <alignment vertical="center" wrapText="1"/>
    </xf>
    <xf numFmtId="3" fontId="0" fillId="0" borderId="0" xfId="0" applyNumberFormat="1" applyAlignment="1">
      <alignment vertical="center" wrapText="1"/>
    </xf>
    <xf numFmtId="0" fontId="57" fillId="0" borderId="0" xfId="0" applyFont="1" applyAlignment="1">
      <alignment vertical="center" wrapText="1"/>
    </xf>
    <xf numFmtId="4" fontId="57" fillId="0" borderId="0" xfId="0" applyNumberFormat="1" applyFont="1" applyAlignment="1">
      <alignment vertical="center" wrapText="1"/>
    </xf>
    <xf numFmtId="0" fontId="57" fillId="16" borderId="0" xfId="0" applyFont="1" applyFill="1" applyAlignment="1">
      <alignment vertical="center" wrapText="1"/>
    </xf>
    <xf numFmtId="4" fontId="57" fillId="16" borderId="0" xfId="0" applyNumberFormat="1" applyFont="1" applyFill="1" applyAlignment="1">
      <alignment vertical="center" wrapText="1"/>
    </xf>
    <xf numFmtId="164" fontId="32" fillId="10" borderId="0" xfId="0" applyNumberFormat="1" applyFont="1" applyFill="1" applyAlignment="1" applyProtection="1">
      <alignment horizontal="center" vertical="center"/>
      <protection hidden="1"/>
    </xf>
    <xf numFmtId="0" fontId="66" fillId="7" borderId="0" xfId="5" applyFont="1" applyFill="1" applyAlignment="1">
      <alignment horizontal="center" vertical="center" wrapText="1"/>
    </xf>
    <xf numFmtId="171" fontId="32" fillId="11" borderId="0" xfId="5" applyNumberFormat="1" applyFont="1" applyFill="1" applyAlignment="1">
      <alignment horizontal="center" vertical="center"/>
    </xf>
    <xf numFmtId="4" fontId="32" fillId="3" borderId="5" xfId="0" applyNumberFormat="1" applyFont="1" applyFill="1" applyBorder="1" applyAlignment="1" applyProtection="1">
      <alignment horizontal="center" vertical="center"/>
      <protection hidden="1"/>
    </xf>
    <xf numFmtId="4" fontId="32" fillId="11" borderId="5" xfId="0" applyNumberFormat="1" applyFont="1" applyFill="1" applyBorder="1" applyAlignment="1" applyProtection="1">
      <alignment horizontal="center" vertical="center"/>
      <protection hidden="1"/>
    </xf>
    <xf numFmtId="4" fontId="32" fillId="3" borderId="0" xfId="5" applyNumberFormat="1" applyFont="1" applyFill="1" applyAlignment="1">
      <alignment horizontal="center" vertical="center"/>
    </xf>
    <xf numFmtId="0" fontId="70" fillId="0" borderId="0" xfId="0" applyFont="1"/>
    <xf numFmtId="0" fontId="71" fillId="0" borderId="0" xfId="0" applyFont="1"/>
    <xf numFmtId="4" fontId="38" fillId="3" borderId="0" xfId="5" applyNumberFormat="1" applyFont="1" applyFill="1" applyAlignment="1">
      <alignment horizontal="center" vertical="center"/>
    </xf>
    <xf numFmtId="0" fontId="30" fillId="14" borderId="0" xfId="5" applyFont="1" applyFill="1" applyAlignment="1">
      <alignment horizontal="center" vertical="center" wrapText="1"/>
    </xf>
    <xf numFmtId="4" fontId="32" fillId="28" borderId="5" xfId="0" applyNumberFormat="1" applyFont="1" applyFill="1" applyBorder="1" applyAlignment="1" applyProtection="1">
      <alignment horizontal="center" vertical="center"/>
      <protection hidden="1"/>
    </xf>
    <xf numFmtId="10" fontId="1" fillId="0" borderId="0" xfId="2" applyNumberFormat="1" applyAlignment="1">
      <alignment horizontal="right"/>
    </xf>
    <xf numFmtId="10" fontId="1" fillId="0" borderId="7" xfId="2" applyNumberFormat="1" applyBorder="1" applyAlignment="1">
      <alignment horizontal="right"/>
    </xf>
    <xf numFmtId="4" fontId="1" fillId="0" borderId="0" xfId="2" applyNumberFormat="1"/>
    <xf numFmtId="4" fontId="1" fillId="0" borderId="8" xfId="2" applyNumberFormat="1" applyBorder="1"/>
    <xf numFmtId="0" fontId="1" fillId="0" borderId="9" xfId="2" applyBorder="1" applyAlignment="1">
      <alignment horizontal="center" vertical="center" wrapText="1"/>
    </xf>
    <xf numFmtId="14" fontId="1" fillId="0" borderId="0" xfId="2" applyNumberFormat="1" applyAlignment="1">
      <alignment horizontal="center" vertical="center"/>
    </xf>
    <xf numFmtId="2" fontId="0" fillId="3" borderId="0" xfId="0" applyNumberFormat="1" applyFill="1" applyAlignment="1">
      <alignment horizontal="center" vertical="center"/>
    </xf>
    <xf numFmtId="0" fontId="73" fillId="0" borderId="0" xfId="7"/>
    <xf numFmtId="4" fontId="0" fillId="28" borderId="0" xfId="0" applyNumberFormat="1" applyFill="1" applyAlignment="1">
      <alignment horizontal="center"/>
    </xf>
    <xf numFmtId="0" fontId="74" fillId="28" borderId="0" xfId="0" applyFont="1" applyFill="1" applyAlignment="1">
      <alignment horizontal="center" vertical="center"/>
    </xf>
    <xf numFmtId="4" fontId="0" fillId="17" borderId="0" xfId="0" applyNumberFormat="1" applyFill="1"/>
    <xf numFmtId="168" fontId="0" fillId="17" borderId="0" xfId="0" applyNumberFormat="1" applyFill="1"/>
    <xf numFmtId="174" fontId="44" fillId="19" borderId="0" xfId="0" applyNumberFormat="1" applyFont="1" applyFill="1" applyAlignment="1">
      <alignment horizontal="center" vertical="center"/>
    </xf>
    <xf numFmtId="4" fontId="44" fillId="19" borderId="0" xfId="0" applyNumberFormat="1" applyFont="1" applyFill="1" applyAlignment="1">
      <alignment horizontal="center" vertical="center"/>
    </xf>
    <xf numFmtId="0" fontId="56" fillId="0" borderId="0" xfId="0" applyFont="1" applyAlignment="1">
      <alignment horizontal="center" vertical="center"/>
    </xf>
    <xf numFmtId="0" fontId="75" fillId="0" borderId="0" xfId="0" applyFont="1" applyAlignment="1">
      <alignment horizontal="center" vertical="center"/>
    </xf>
    <xf numFmtId="0" fontId="55" fillId="2" borderId="6" xfId="5" applyFont="1" applyFill="1" applyBorder="1" applyAlignment="1">
      <alignment horizontal="center" vertical="center" wrapText="1"/>
    </xf>
    <xf numFmtId="170" fontId="59" fillId="32" borderId="0" xfId="0" applyNumberFormat="1" applyFont="1" applyFill="1" applyAlignment="1">
      <alignment horizontal="center" vertical="center"/>
    </xf>
    <xf numFmtId="4" fontId="70" fillId="0" borderId="0" xfId="0" applyNumberFormat="1" applyFont="1"/>
    <xf numFmtId="173" fontId="0" fillId="0" borderId="0" xfId="0" applyNumberFormat="1"/>
    <xf numFmtId="173" fontId="70" fillId="0" borderId="0" xfId="0" applyNumberFormat="1" applyFont="1"/>
    <xf numFmtId="164" fontId="0" fillId="0" borderId="0" xfId="0" applyNumberFormat="1"/>
    <xf numFmtId="0" fontId="76" fillId="8" borderId="0" xfId="2" applyFont="1" applyFill="1" applyAlignment="1">
      <alignment horizontal="center" vertical="center" wrapText="1"/>
    </xf>
    <xf numFmtId="164" fontId="76" fillId="8" borderId="0" xfId="2" applyNumberFormat="1" applyFont="1" applyFill="1" applyAlignment="1">
      <alignment horizontal="center" vertical="center" wrapText="1"/>
    </xf>
    <xf numFmtId="0" fontId="76" fillId="8" borderId="0" xfId="2" applyFont="1" applyFill="1" applyAlignment="1">
      <alignment vertical="center" wrapText="1"/>
    </xf>
    <xf numFmtId="0" fontId="76" fillId="8" borderId="0" xfId="2" applyFont="1" applyFill="1" applyAlignment="1">
      <alignment horizontal="center" vertical="center"/>
    </xf>
    <xf numFmtId="0" fontId="76" fillId="2" borderId="0" xfId="2" applyFont="1" applyFill="1" applyAlignment="1">
      <alignment horizontal="center" vertical="center" wrapText="1"/>
    </xf>
    <xf numFmtId="0" fontId="50" fillId="31" borderId="0" xfId="0" applyFont="1" applyFill="1" applyAlignment="1">
      <alignment horizontal="center" vertical="center" wrapText="1"/>
    </xf>
    <xf numFmtId="14" fontId="50" fillId="31" borderId="0" xfId="0" applyNumberFormat="1" applyFont="1" applyFill="1" applyAlignment="1">
      <alignment horizontal="center" vertical="center" wrapText="1"/>
    </xf>
    <xf numFmtId="164" fontId="50" fillId="31" borderId="0" xfId="0" applyNumberFormat="1" applyFont="1" applyFill="1" applyAlignment="1">
      <alignment horizontal="center" vertical="center" wrapText="1"/>
    </xf>
    <xf numFmtId="4" fontId="77" fillId="17" borderId="0" xfId="2" applyNumberFormat="1" applyFont="1" applyFill="1" applyAlignment="1">
      <alignment horizontal="center" wrapText="1"/>
    </xf>
    <xf numFmtId="166" fontId="77" fillId="27" borderId="0" xfId="2" applyNumberFormat="1" applyFont="1" applyFill="1" applyAlignment="1">
      <alignment horizontal="center" wrapText="1"/>
    </xf>
    <xf numFmtId="0" fontId="50" fillId="0" borderId="0" xfId="0" applyFont="1"/>
    <xf numFmtId="164" fontId="50" fillId="0" borderId="0" xfId="0" applyNumberFormat="1" applyFont="1"/>
    <xf numFmtId="0" fontId="78" fillId="8" borderId="0" xfId="0" applyFont="1" applyFill="1"/>
    <xf numFmtId="0" fontId="79" fillId="12" borderId="0" xfId="0" applyFont="1" applyFill="1" applyAlignment="1">
      <alignment vertical="center"/>
    </xf>
    <xf numFmtId="0" fontId="79" fillId="12" borderId="0" xfId="0" applyFont="1" applyFill="1" applyAlignment="1">
      <alignment horizontal="center" vertical="center"/>
    </xf>
    <xf numFmtId="0" fontId="67" fillId="8" borderId="0" xfId="8" applyFont="1" applyFill="1" applyAlignment="1">
      <alignment horizontal="center" vertical="center" wrapText="1"/>
    </xf>
    <xf numFmtId="0" fontId="68" fillId="8" borderId="0" xfId="8" applyFont="1" applyFill="1" applyAlignment="1">
      <alignment horizontal="center" vertical="center" wrapText="1"/>
    </xf>
    <xf numFmtId="0" fontId="51" fillId="33" borderId="0" xfId="0" applyFont="1" applyFill="1" applyAlignment="1">
      <alignment horizontal="center" vertical="center"/>
    </xf>
    <xf numFmtId="0" fontId="51" fillId="33" borderId="0" xfId="0" applyFont="1" applyFill="1"/>
    <xf numFmtId="0" fontId="57" fillId="35" borderId="0" xfId="0" applyFont="1" applyFill="1" applyAlignment="1">
      <alignment horizontal="center" vertical="center"/>
    </xf>
    <xf numFmtId="0" fontId="57" fillId="2" borderId="0" xfId="0" applyFont="1" applyFill="1" applyAlignment="1">
      <alignment horizontal="center" vertical="center"/>
    </xf>
    <xf numFmtId="0" fontId="57" fillId="16" borderId="0" xfId="0" applyFont="1" applyFill="1" applyAlignment="1">
      <alignment horizontal="center" vertical="center"/>
    </xf>
    <xf numFmtId="14" fontId="39" fillId="8" borderId="0" xfId="0" applyNumberFormat="1" applyFont="1" applyFill="1"/>
    <xf numFmtId="164" fontId="39" fillId="8" borderId="0" xfId="0" applyNumberFormat="1" applyFont="1" applyFill="1"/>
    <xf numFmtId="3" fontId="39" fillId="8" borderId="0" xfId="0" applyNumberFormat="1" applyFont="1" applyFill="1" applyAlignment="1">
      <alignment horizontal="center" vertical="center"/>
    </xf>
    <xf numFmtId="14" fontId="39" fillId="36" borderId="0" xfId="0" applyNumberFormat="1" applyFont="1" applyFill="1"/>
    <xf numFmtId="3" fontId="39" fillId="2" borderId="0" xfId="0" applyNumberFormat="1" applyFont="1" applyFill="1" applyAlignment="1">
      <alignment horizontal="center" vertical="center"/>
    </xf>
    <xf numFmtId="173" fontId="85" fillId="18" borderId="0" xfId="0" applyNumberFormat="1" applyFont="1" applyFill="1"/>
    <xf numFmtId="172" fontId="85" fillId="18" borderId="0" xfId="0" applyNumberFormat="1" applyFont="1" applyFill="1"/>
    <xf numFmtId="14" fontId="0" fillId="8" borderId="0" xfId="0" applyNumberFormat="1" applyFill="1"/>
    <xf numFmtId="3" fontId="0" fillId="8" borderId="0" xfId="0" applyNumberFormat="1" applyFill="1" applyAlignment="1">
      <alignment horizontal="center" vertical="center"/>
    </xf>
    <xf numFmtId="14" fontId="0" fillId="36" borderId="0" xfId="0" applyNumberFormat="1" applyFill="1"/>
    <xf numFmtId="173" fontId="87" fillId="30" borderId="0" xfId="0" applyNumberFormat="1" applyFont="1" applyFill="1"/>
    <xf numFmtId="170" fontId="87" fillId="30" borderId="0" xfId="0" applyNumberFormat="1" applyFont="1" applyFill="1"/>
    <xf numFmtId="14" fontId="83" fillId="35" borderId="0" xfId="0" applyNumberFormat="1" applyFont="1" applyFill="1" applyAlignment="1">
      <alignment horizontal="center" vertical="center" wrapText="1"/>
    </xf>
    <xf numFmtId="171" fontId="84" fillId="35" borderId="0" xfId="0" applyNumberFormat="1" applyFont="1" applyFill="1" applyAlignment="1">
      <alignment horizontal="center" vertical="center"/>
    </xf>
    <xf numFmtId="14" fontId="0" fillId="7" borderId="0" xfId="0" applyNumberFormat="1" applyFill="1"/>
    <xf numFmtId="164" fontId="39" fillId="7" borderId="0" xfId="0" applyNumberFormat="1" applyFont="1" applyFill="1"/>
    <xf numFmtId="3" fontId="0" fillId="7" borderId="0" xfId="0" applyNumberFormat="1" applyFill="1" applyAlignment="1">
      <alignment horizontal="center" vertical="center"/>
    </xf>
    <xf numFmtId="14" fontId="39" fillId="7" borderId="0" xfId="0" applyNumberFormat="1" applyFont="1" applyFill="1"/>
    <xf numFmtId="3" fontId="39" fillId="7" borderId="0" xfId="0" applyNumberFormat="1" applyFont="1" applyFill="1" applyAlignment="1">
      <alignment horizontal="center" vertical="center"/>
    </xf>
    <xf numFmtId="166" fontId="77" fillId="17" borderId="0" xfId="2" applyNumberFormat="1" applyFont="1" applyFill="1" applyAlignment="1">
      <alignment horizontal="center" wrapText="1"/>
    </xf>
    <xf numFmtId="166" fontId="86" fillId="7" borderId="0" xfId="0" applyNumberFormat="1" applyFont="1" applyFill="1" applyAlignment="1">
      <alignment horizontal="center" vertical="center"/>
    </xf>
    <xf numFmtId="166" fontId="69" fillId="30" borderId="0" xfId="0" applyNumberFormat="1" applyFont="1" applyFill="1" applyAlignment="1">
      <alignment horizontal="center" vertical="center"/>
    </xf>
    <xf numFmtId="2" fontId="0" fillId="34" borderId="0" xfId="0" applyNumberFormat="1" applyFill="1"/>
    <xf numFmtId="14" fontId="88" fillId="35" borderId="0" xfId="0" applyNumberFormat="1" applyFont="1" applyFill="1" applyAlignment="1">
      <alignment horizontal="center" vertical="center" wrapText="1"/>
    </xf>
    <xf numFmtId="164" fontId="88" fillId="35" borderId="0" xfId="0" applyNumberFormat="1" applyFont="1" applyFill="1" applyAlignment="1">
      <alignment horizontal="center" vertical="center"/>
    </xf>
    <xf numFmtId="171" fontId="88" fillId="35" borderId="0" xfId="0" applyNumberFormat="1" applyFont="1" applyFill="1" applyAlignment="1">
      <alignment horizontal="center" vertical="center"/>
    </xf>
    <xf numFmtId="10" fontId="44" fillId="19" borderId="0" xfId="6" applyNumberFormat="1" applyFont="1" applyFill="1" applyAlignment="1">
      <alignment horizontal="center" vertical="center"/>
    </xf>
    <xf numFmtId="10" fontId="0" fillId="0" borderId="0" xfId="0" applyNumberFormat="1"/>
    <xf numFmtId="0" fontId="0" fillId="0" borderId="0" xfId="0" applyAlignment="1">
      <alignment horizontal="center" vertical="center"/>
    </xf>
    <xf numFmtId="3" fontId="0" fillId="0" borderId="0" xfId="0" applyNumberFormat="1"/>
    <xf numFmtId="165" fontId="89" fillId="3" borderId="0" xfId="5" applyNumberFormat="1" applyFont="1" applyFill="1" applyAlignment="1">
      <alignment horizontal="center" vertical="center"/>
    </xf>
    <xf numFmtId="0" fontId="90" fillId="0" borderId="0" xfId="0" applyFont="1"/>
    <xf numFmtId="4" fontId="91" fillId="3" borderId="0" xfId="5" applyNumberFormat="1" applyFont="1" applyFill="1" applyAlignment="1">
      <alignment horizontal="center" vertical="center"/>
    </xf>
    <xf numFmtId="165" fontId="91" fillId="3" borderId="0" xfId="5" applyNumberFormat="1" applyFont="1" applyFill="1" applyAlignment="1">
      <alignment horizontal="center" vertical="center"/>
    </xf>
    <xf numFmtId="4" fontId="58" fillId="2" borderId="0" xfId="0" applyNumberFormat="1" applyFont="1" applyFill="1"/>
    <xf numFmtId="4" fontId="93" fillId="19" borderId="0" xfId="0" applyNumberFormat="1" applyFont="1" applyFill="1" applyAlignment="1">
      <alignment horizontal="center" vertical="center"/>
    </xf>
    <xf numFmtId="166" fontId="0" fillId="27" borderId="0" xfId="0" applyNumberFormat="1" applyFill="1"/>
    <xf numFmtId="175" fontId="0" fillId="0" borderId="0" xfId="0" applyNumberFormat="1" applyAlignment="1">
      <alignment horizontal="center" vertical="center"/>
    </xf>
    <xf numFmtId="4" fontId="92" fillId="37" borderId="0" xfId="0" applyNumberFormat="1" applyFont="1" applyFill="1"/>
    <xf numFmtId="4" fontId="92" fillId="38" borderId="0" xfId="0" applyNumberFormat="1" applyFont="1" applyFill="1"/>
    <xf numFmtId="4" fontId="92" fillId="18" borderId="0" xfId="0" applyNumberFormat="1" applyFont="1" applyFill="1"/>
    <xf numFmtId="2" fontId="92" fillId="22" borderId="0" xfId="0" applyNumberFormat="1" applyFont="1" applyFill="1" applyAlignment="1">
      <alignment horizontal="center" vertical="center"/>
    </xf>
    <xf numFmtId="4" fontId="92" fillId="22" borderId="0" xfId="0" applyNumberFormat="1" applyFont="1" applyFill="1" applyAlignment="1">
      <alignment horizontal="center" vertical="center"/>
    </xf>
    <xf numFmtId="168" fontId="39" fillId="9" borderId="0" xfId="0" applyNumberFormat="1" applyFont="1" applyFill="1"/>
    <xf numFmtId="14" fontId="91" fillId="8" borderId="0" xfId="5" applyNumberFormat="1" applyFont="1" applyFill="1" applyAlignment="1">
      <alignment horizontal="center" vertical="center"/>
    </xf>
    <xf numFmtId="4" fontId="91" fillId="11" borderId="0" xfId="5" applyNumberFormat="1" applyFont="1" applyFill="1" applyAlignment="1">
      <alignment horizontal="center" vertical="center"/>
    </xf>
    <xf numFmtId="3" fontId="91" fillId="17" borderId="4" xfId="0" applyNumberFormat="1" applyFont="1" applyFill="1" applyBorder="1" applyAlignment="1" applyProtection="1">
      <alignment horizontal="center" vertical="center"/>
      <protection hidden="1"/>
    </xf>
    <xf numFmtId="164" fontId="91" fillId="10" borderId="5" xfId="0" applyNumberFormat="1" applyFont="1" applyFill="1" applyBorder="1" applyAlignment="1" applyProtection="1">
      <alignment horizontal="center" vertical="center"/>
      <protection hidden="1"/>
    </xf>
    <xf numFmtId="4" fontId="91" fillId="11" borderId="5" xfId="0" applyNumberFormat="1" applyFont="1" applyFill="1" applyBorder="1" applyAlignment="1" applyProtection="1">
      <alignment horizontal="center" vertical="center"/>
      <protection hidden="1"/>
    </xf>
    <xf numFmtId="164" fontId="91" fillId="10" borderId="0" xfId="0" applyNumberFormat="1" applyFont="1" applyFill="1" applyAlignment="1" applyProtection="1">
      <alignment horizontal="center" vertical="center"/>
      <protection hidden="1"/>
    </xf>
    <xf numFmtId="4" fontId="91" fillId="10" borderId="0" xfId="0" applyNumberFormat="1" applyFont="1" applyFill="1" applyAlignment="1" applyProtection="1">
      <alignment horizontal="center" vertical="center"/>
      <protection hidden="1"/>
    </xf>
    <xf numFmtId="4" fontId="92" fillId="39" borderId="0" xfId="0" applyNumberFormat="1" applyFont="1" applyFill="1"/>
    <xf numFmtId="4" fontId="0" fillId="14" borderId="0" xfId="0" applyNumberFormat="1" applyFill="1" applyAlignment="1">
      <alignment horizontal="center" vertical="center"/>
    </xf>
    <xf numFmtId="0" fontId="94" fillId="0" borderId="0" xfId="0" applyFont="1" applyAlignment="1">
      <alignment horizontal="center" vertical="center"/>
    </xf>
    <xf numFmtId="170" fontId="0" fillId="0" borderId="0" xfId="0" applyNumberFormat="1"/>
    <xf numFmtId="0" fontId="85" fillId="29" borderId="0" xfId="0" applyFont="1" applyFill="1" applyAlignment="1">
      <alignment horizontal="center" vertical="center"/>
    </xf>
    <xf numFmtId="170" fontId="58" fillId="2" borderId="0" xfId="0" applyNumberFormat="1" applyFont="1" applyFill="1"/>
    <xf numFmtId="0" fontId="18" fillId="5" borderId="0" xfId="3" applyFont="1" applyFill="1" applyAlignment="1">
      <alignment horizontal="left" vertical="center"/>
    </xf>
    <xf numFmtId="0" fontId="24" fillId="5" borderId="0" xfId="3" applyFont="1" applyFill="1" applyAlignment="1">
      <alignment horizontal="left"/>
    </xf>
    <xf numFmtId="0" fontId="0" fillId="0" borderId="0" xfId="0" applyAlignment="1">
      <alignment vertical="center" wrapText="1"/>
    </xf>
    <xf numFmtId="0" fontId="57" fillId="0" borderId="0" xfId="0" applyFont="1" applyAlignment="1">
      <alignment vertical="center" wrapText="1"/>
    </xf>
    <xf numFmtId="0" fontId="47" fillId="22" borderId="0" xfId="0" applyFont="1" applyFill="1" applyAlignment="1">
      <alignment horizontal="center" vertical="center"/>
    </xf>
    <xf numFmtId="0" fontId="49" fillId="23" borderId="0" xfId="0" applyFont="1" applyFill="1" applyAlignment="1">
      <alignment horizontal="left"/>
    </xf>
    <xf numFmtId="0" fontId="46" fillId="20" borderId="0" xfId="0" applyFont="1" applyFill="1" applyAlignment="1">
      <alignment horizontal="left"/>
    </xf>
    <xf numFmtId="0" fontId="49" fillId="24" borderId="0" xfId="0" applyFont="1" applyFill="1" applyAlignment="1">
      <alignment horizontal="left"/>
    </xf>
    <xf numFmtId="0" fontId="47" fillId="15" borderId="0" xfId="0" applyFont="1" applyFill="1" applyAlignment="1">
      <alignment horizontal="center" vertical="center"/>
    </xf>
    <xf numFmtId="0" fontId="46" fillId="21" borderId="0" xfId="0" applyFont="1" applyFill="1" applyAlignment="1">
      <alignment horizontal="left"/>
    </xf>
    <xf numFmtId="0" fontId="80" fillId="12" borderId="0" xfId="0" applyFont="1" applyFill="1" applyAlignment="1">
      <alignment horizontal="center" vertical="center"/>
    </xf>
    <xf numFmtId="0" fontId="72" fillId="3" borderId="9" xfId="2" applyFont="1" applyFill="1" applyBorder="1" applyAlignment="1">
      <alignment horizontal="center" vertical="center" wrapText="1"/>
    </xf>
    <xf numFmtId="0" fontId="72" fillId="3" borderId="0" xfId="2" applyFont="1" applyFill="1"/>
    <xf numFmtId="4" fontId="95" fillId="3" borderId="0" xfId="5" applyNumberFormat="1" applyFont="1" applyFill="1" applyAlignment="1">
      <alignment horizontal="center" vertical="center"/>
    </xf>
    <xf numFmtId="173" fontId="0" fillId="9" borderId="0" xfId="0" applyNumberFormat="1" applyFill="1"/>
    <xf numFmtId="4" fontId="0" fillId="27" borderId="0" xfId="0" applyNumberFormat="1" applyFill="1" applyAlignment="1">
      <alignment horizontal="center" vertical="center"/>
    </xf>
    <xf numFmtId="0" fontId="96" fillId="29" borderId="0" xfId="0" applyFont="1" applyFill="1" applyAlignment="1">
      <alignment horizontal="center" vertical="center"/>
    </xf>
  </cellXfs>
  <cellStyles count="9">
    <cellStyle name="Hiperlink" xfId="7" builtinId="8"/>
    <cellStyle name="Hiperlink 2" xfId="3" xr:uid="{00000000-0005-0000-0000-000001000000}"/>
    <cellStyle name="Normal" xfId="0" builtinId="0"/>
    <cellStyle name="Normal 2 2" xfId="2" xr:uid="{00000000-0005-0000-0000-000003000000}"/>
    <cellStyle name="Normal 2 2 2" xfId="8" xr:uid="{00000000-0005-0000-0000-000004000000}"/>
    <cellStyle name="Normal 2 6" xfId="5" xr:uid="{00000000-0005-0000-0000-000005000000}"/>
    <cellStyle name="Normal 4" xfId="1" xr:uid="{00000000-0005-0000-0000-000006000000}"/>
    <cellStyle name="Porcentagem" xfId="6" builtinId="5"/>
    <cellStyle name="Porcentagem 2" xfId="4" xr:uid="{00000000-0005-0000-0000-000008000000}"/>
  </cellStyles>
  <dxfs count="4"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</dxfs>
  <tableStyles count="0" defaultTableStyle="TableStyleMedium2" defaultPivotStyle="PivotStyleLight16"/>
  <colors>
    <mruColors>
      <color rgb="FFFFE18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8</xdr:col>
      <xdr:colOff>310950</xdr:colOff>
      <xdr:row>9</xdr:row>
      <xdr:rowOff>163722</xdr:rowOff>
    </xdr:from>
    <xdr:to>
      <xdr:col>8</xdr:col>
      <xdr:colOff>825351</xdr:colOff>
      <xdr:row>10</xdr:row>
      <xdr:rowOff>89568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6854" y="2474930"/>
          <a:ext cx="537882" cy="5378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784412</xdr:colOff>
      <xdr:row>2</xdr:row>
      <xdr:rowOff>56030</xdr:rowOff>
    </xdr:from>
    <xdr:to>
      <xdr:col>12</xdr:col>
      <xdr:colOff>661148</xdr:colOff>
      <xdr:row>9</xdr:row>
      <xdr:rowOff>145676</xdr:rowOff>
    </xdr:to>
    <xdr:sp macro="" textlink="">
      <xdr:nvSpPr>
        <xdr:cNvPr id="3" name="Forma livre 1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 bwMode="auto">
        <a:xfrm>
          <a:off x="784412" y="886610"/>
          <a:ext cx="11862996" cy="1712706"/>
        </a:xfrm>
        <a:custGeom>
          <a:avLst/>
          <a:gdLst>
            <a:gd name="connsiteX0" fmla="*/ 11890590 w 11890590"/>
            <a:gd name="connsiteY0" fmla="*/ 0 h 1748117"/>
            <a:gd name="connsiteX1" fmla="*/ 9851119 w 11890590"/>
            <a:gd name="connsiteY1" fmla="*/ 1053353 h 1748117"/>
            <a:gd name="connsiteX2" fmla="*/ 807972 w 11890590"/>
            <a:gd name="connsiteY2" fmla="*/ 1411941 h 1748117"/>
            <a:gd name="connsiteX3" fmla="*/ 438178 w 11890590"/>
            <a:gd name="connsiteY3" fmla="*/ 1748117 h 1748117"/>
            <a:gd name="connsiteX4" fmla="*/ 438178 w 11890590"/>
            <a:gd name="connsiteY4" fmla="*/ 1748117 h 1748117"/>
            <a:gd name="connsiteX0" fmla="*/ 11452412 w 11452412"/>
            <a:gd name="connsiteY0" fmla="*/ 0 h 1748117"/>
            <a:gd name="connsiteX1" fmla="*/ 9412941 w 11452412"/>
            <a:gd name="connsiteY1" fmla="*/ 1053353 h 1748117"/>
            <a:gd name="connsiteX2" fmla="*/ 1255058 w 11452412"/>
            <a:gd name="connsiteY2" fmla="*/ 1367117 h 1748117"/>
            <a:gd name="connsiteX3" fmla="*/ 0 w 11452412"/>
            <a:gd name="connsiteY3" fmla="*/ 1748117 h 1748117"/>
            <a:gd name="connsiteX4" fmla="*/ 0 w 11452412"/>
            <a:gd name="connsiteY4" fmla="*/ 1748117 h 1748117"/>
            <a:gd name="connsiteX0" fmla="*/ 11452412 w 11452412"/>
            <a:gd name="connsiteY0" fmla="*/ 0 h 1748117"/>
            <a:gd name="connsiteX1" fmla="*/ 9412941 w 11452412"/>
            <a:gd name="connsiteY1" fmla="*/ 1053353 h 1748117"/>
            <a:gd name="connsiteX2" fmla="*/ 1109382 w 11452412"/>
            <a:gd name="connsiteY2" fmla="*/ 1355911 h 1748117"/>
            <a:gd name="connsiteX3" fmla="*/ 0 w 11452412"/>
            <a:gd name="connsiteY3" fmla="*/ 1748117 h 1748117"/>
            <a:gd name="connsiteX4" fmla="*/ 0 w 11452412"/>
            <a:gd name="connsiteY4" fmla="*/ 1748117 h 1748117"/>
            <a:gd name="connsiteX0" fmla="*/ 11516692 w 11516692"/>
            <a:gd name="connsiteY0" fmla="*/ 0 h 1787653"/>
            <a:gd name="connsiteX1" fmla="*/ 9477221 w 11516692"/>
            <a:gd name="connsiteY1" fmla="*/ 1053353 h 1787653"/>
            <a:gd name="connsiteX2" fmla="*/ 1173662 w 11516692"/>
            <a:gd name="connsiteY2" fmla="*/ 1355911 h 1787653"/>
            <a:gd name="connsiteX3" fmla="*/ 64280 w 11516692"/>
            <a:gd name="connsiteY3" fmla="*/ 1748117 h 1787653"/>
            <a:gd name="connsiteX4" fmla="*/ 142721 w 11516692"/>
            <a:gd name="connsiteY4" fmla="*/ 1781735 h 1787653"/>
            <a:gd name="connsiteX0" fmla="*/ 11452412 w 11452412"/>
            <a:gd name="connsiteY0" fmla="*/ 0 h 1748117"/>
            <a:gd name="connsiteX1" fmla="*/ 9412941 w 11452412"/>
            <a:gd name="connsiteY1" fmla="*/ 1053353 h 1748117"/>
            <a:gd name="connsiteX2" fmla="*/ 1109382 w 11452412"/>
            <a:gd name="connsiteY2" fmla="*/ 1355911 h 1748117"/>
            <a:gd name="connsiteX3" fmla="*/ 0 w 11452412"/>
            <a:gd name="connsiteY3" fmla="*/ 1748117 h 1748117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</a:cxnLst>
          <a:rect l="l" t="t" r="r" b="b"/>
          <a:pathLst>
            <a:path w="11452412" h="1748117">
              <a:moveTo>
                <a:pt x="11452412" y="0"/>
              </a:moveTo>
              <a:cubicBezTo>
                <a:pt x="11356228" y="409015"/>
                <a:pt x="11136779" y="827368"/>
                <a:pt x="9412941" y="1053353"/>
              </a:cubicBezTo>
              <a:cubicBezTo>
                <a:pt x="7689103" y="1279338"/>
                <a:pt x="2678205" y="1240117"/>
                <a:pt x="1109382" y="1355911"/>
              </a:cubicBezTo>
              <a:cubicBezTo>
                <a:pt x="-459442" y="1471705"/>
                <a:pt x="171824" y="1677146"/>
                <a:pt x="0" y="1748117"/>
              </a:cubicBezTo>
            </a:path>
          </a:pathLst>
        </a:custGeom>
        <a:noFill/>
        <a:ln w="28575" cap="flat" cmpd="sng" algn="ctr">
          <a:solidFill>
            <a:srgbClr val="7030A0"/>
          </a:solidFill>
          <a:prstDash val="solid"/>
          <a:round/>
          <a:headEnd type="none" w="med" len="med"/>
          <a:tailEnd type="triangle" w="lg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t-BR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24764</xdr:colOff>
          <xdr:row>0</xdr:row>
          <xdr:rowOff>110489</xdr:rowOff>
        </xdr:from>
        <xdr:to>
          <xdr:col>25</xdr:col>
          <xdr:colOff>57150</xdr:colOff>
          <xdr:row>19</xdr:row>
          <xdr:rowOff>154084</xdr:rowOff>
        </xdr:to>
        <xdr:pic>
          <xdr:nvPicPr>
            <xdr:cNvPr id="7" name="Imagem 6">
              <a:extLst>
                <a:ext uri="{FF2B5EF4-FFF2-40B4-BE49-F238E27FC236}">
                  <a16:creationId xmlns:a16="http://schemas.microsoft.com/office/drawing/2014/main" id="{00000000-0008-0000-0600-000007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DAP Futuro'!$C$16:$F$28" spid="_x0000_s6416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16341089" y="110489"/>
              <a:ext cx="4109086" cy="387264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24764</xdr:colOff>
          <xdr:row>0</xdr:row>
          <xdr:rowOff>110489</xdr:rowOff>
        </xdr:from>
        <xdr:to>
          <xdr:col>25</xdr:col>
          <xdr:colOff>304164</xdr:colOff>
          <xdr:row>17</xdr:row>
          <xdr:rowOff>168909</xdr:rowOff>
        </xdr:to>
        <xdr:pic>
          <xdr:nvPicPr>
            <xdr:cNvPr id="2" name="Imagem 1">
              <a:extLst>
                <a:ext uri="{FF2B5EF4-FFF2-40B4-BE49-F238E27FC236}">
                  <a16:creationId xmlns:a16="http://schemas.microsoft.com/office/drawing/2014/main" id="{00000000-0008-0000-0700-000002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DAP Futuro'!$C$16:$F$28" spid="_x0000_s20621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19198589" y="110489"/>
              <a:ext cx="4356100" cy="353695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556260</xdr:colOff>
          <xdr:row>1</xdr:row>
          <xdr:rowOff>53340</xdr:rowOff>
        </xdr:from>
        <xdr:to>
          <xdr:col>47</xdr:col>
          <xdr:colOff>96520</xdr:colOff>
          <xdr:row>20</xdr:row>
          <xdr:rowOff>111760</xdr:rowOff>
        </xdr:to>
        <xdr:pic>
          <xdr:nvPicPr>
            <xdr:cNvPr id="2" name="Imagem 1">
              <a:extLst>
                <a:ext uri="{FF2B5EF4-FFF2-40B4-BE49-F238E27FC236}">
                  <a16:creationId xmlns:a16="http://schemas.microsoft.com/office/drawing/2014/main" id="{AE878D82-E8D0-4FA6-9E22-9F88E11A216D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DAP Futuro'!$C$16:$F$28" spid="_x0000_s27651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31066740" y="320040"/>
              <a:ext cx="4417060" cy="354076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://www.b3.com.br/pt_br/market-data-e-indices/servicos-de-dados/market-data/historico/derivativos/resumo-estatistico/sistema-pregao/" TargetMode="External"/><Relationship Id="rId1" Type="http://schemas.openxmlformats.org/officeDocument/2006/relationships/hyperlink" Target="http://www.b3.com.br/pt_br/market-data-e-indices/indices/indices-de-segmentos-e-setoriais/serie-historica-do-di.htm" TargetMode="External"/><Relationship Id="rId4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b3.com.br/pt_br/market-data-e-indices/servicos-de-dados/market-data/historico/derivativos/ajustes-do-pregao/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936"/>
  <sheetViews>
    <sheetView topLeftCell="A905" workbookViewId="0"/>
  </sheetViews>
  <sheetFormatPr defaultRowHeight="14.4" x14ac:dyDescent="0.3"/>
  <sheetData>
    <row r="1" spans="1:1" x14ac:dyDescent="0.3">
      <c r="A1" s="1">
        <v>36892</v>
      </c>
    </row>
    <row r="2" spans="1:1" x14ac:dyDescent="0.3">
      <c r="A2" s="1">
        <v>36948</v>
      </c>
    </row>
    <row r="3" spans="1:1" x14ac:dyDescent="0.3">
      <c r="A3" s="1">
        <v>36949</v>
      </c>
    </row>
    <row r="4" spans="1:1" x14ac:dyDescent="0.3">
      <c r="A4" s="1">
        <v>36994</v>
      </c>
    </row>
    <row r="5" spans="1:1" x14ac:dyDescent="0.3">
      <c r="A5" s="1">
        <v>37002</v>
      </c>
    </row>
    <row r="6" spans="1:1" x14ac:dyDescent="0.3">
      <c r="A6" s="1">
        <v>37012</v>
      </c>
    </row>
    <row r="7" spans="1:1" x14ac:dyDescent="0.3">
      <c r="A7" s="1">
        <v>37056</v>
      </c>
    </row>
    <row r="8" spans="1:1" x14ac:dyDescent="0.3">
      <c r="A8" s="1">
        <v>37141</v>
      </c>
    </row>
    <row r="9" spans="1:1" x14ac:dyDescent="0.3">
      <c r="A9" s="1">
        <v>37176</v>
      </c>
    </row>
    <row r="10" spans="1:1" x14ac:dyDescent="0.3">
      <c r="A10" s="1">
        <v>37197</v>
      </c>
    </row>
    <row r="11" spans="1:1" x14ac:dyDescent="0.3">
      <c r="A11" s="1">
        <v>37210</v>
      </c>
    </row>
    <row r="12" spans="1:1" x14ac:dyDescent="0.3">
      <c r="A12" s="1">
        <v>37250</v>
      </c>
    </row>
    <row r="13" spans="1:1" x14ac:dyDescent="0.3">
      <c r="A13" s="1">
        <v>37257</v>
      </c>
    </row>
    <row r="14" spans="1:1" x14ac:dyDescent="0.3">
      <c r="A14" s="1">
        <v>37298</v>
      </c>
    </row>
    <row r="15" spans="1:1" x14ac:dyDescent="0.3">
      <c r="A15" s="1">
        <v>37299</v>
      </c>
    </row>
    <row r="16" spans="1:1" x14ac:dyDescent="0.3">
      <c r="A16" s="1">
        <v>37344</v>
      </c>
    </row>
    <row r="17" spans="1:1" x14ac:dyDescent="0.3">
      <c r="A17" s="1">
        <v>37367</v>
      </c>
    </row>
    <row r="18" spans="1:1" x14ac:dyDescent="0.3">
      <c r="A18" s="1">
        <v>37377</v>
      </c>
    </row>
    <row r="19" spans="1:1" x14ac:dyDescent="0.3">
      <c r="A19" s="1">
        <v>37406</v>
      </c>
    </row>
    <row r="20" spans="1:1" x14ac:dyDescent="0.3">
      <c r="A20" s="1">
        <v>37506</v>
      </c>
    </row>
    <row r="21" spans="1:1" x14ac:dyDescent="0.3">
      <c r="A21" s="1">
        <v>37541</v>
      </c>
    </row>
    <row r="22" spans="1:1" x14ac:dyDescent="0.3">
      <c r="A22" s="1">
        <v>37562</v>
      </c>
    </row>
    <row r="23" spans="1:1" x14ac:dyDescent="0.3">
      <c r="A23" s="1">
        <v>37575</v>
      </c>
    </row>
    <row r="24" spans="1:1" x14ac:dyDescent="0.3">
      <c r="A24" s="1">
        <v>37615</v>
      </c>
    </row>
    <row r="25" spans="1:1" x14ac:dyDescent="0.3">
      <c r="A25" s="1">
        <v>37622</v>
      </c>
    </row>
    <row r="26" spans="1:1" x14ac:dyDescent="0.3">
      <c r="A26" s="1">
        <v>37683</v>
      </c>
    </row>
    <row r="27" spans="1:1" x14ac:dyDescent="0.3">
      <c r="A27" s="1">
        <v>37684</v>
      </c>
    </row>
    <row r="28" spans="1:1" x14ac:dyDescent="0.3">
      <c r="A28" s="1">
        <v>37729</v>
      </c>
    </row>
    <row r="29" spans="1:1" x14ac:dyDescent="0.3">
      <c r="A29" s="1">
        <v>37732</v>
      </c>
    </row>
    <row r="30" spans="1:1" x14ac:dyDescent="0.3">
      <c r="A30" s="1">
        <v>37742</v>
      </c>
    </row>
    <row r="31" spans="1:1" x14ac:dyDescent="0.3">
      <c r="A31" s="1">
        <v>37791</v>
      </c>
    </row>
    <row r="32" spans="1:1" x14ac:dyDescent="0.3">
      <c r="A32" s="1">
        <v>37871</v>
      </c>
    </row>
    <row r="33" spans="1:1" x14ac:dyDescent="0.3">
      <c r="A33" s="1">
        <v>37906</v>
      </c>
    </row>
    <row r="34" spans="1:1" x14ac:dyDescent="0.3">
      <c r="A34" s="1">
        <v>37927</v>
      </c>
    </row>
    <row r="35" spans="1:1" x14ac:dyDescent="0.3">
      <c r="A35" s="1">
        <v>37940</v>
      </c>
    </row>
    <row r="36" spans="1:1" x14ac:dyDescent="0.3">
      <c r="A36" s="1">
        <v>37980</v>
      </c>
    </row>
    <row r="37" spans="1:1" x14ac:dyDescent="0.3">
      <c r="A37" s="1">
        <v>37987</v>
      </c>
    </row>
    <row r="38" spans="1:1" x14ac:dyDescent="0.3">
      <c r="A38" s="1">
        <v>38040</v>
      </c>
    </row>
    <row r="39" spans="1:1" x14ac:dyDescent="0.3">
      <c r="A39" s="1">
        <v>38041</v>
      </c>
    </row>
    <row r="40" spans="1:1" x14ac:dyDescent="0.3">
      <c r="A40" s="1">
        <v>38086</v>
      </c>
    </row>
    <row r="41" spans="1:1" x14ac:dyDescent="0.3">
      <c r="A41" s="1">
        <v>38098</v>
      </c>
    </row>
    <row r="42" spans="1:1" x14ac:dyDescent="0.3">
      <c r="A42" s="1">
        <v>38108</v>
      </c>
    </row>
    <row r="43" spans="1:1" x14ac:dyDescent="0.3">
      <c r="A43" s="1">
        <v>38148</v>
      </c>
    </row>
    <row r="44" spans="1:1" x14ac:dyDescent="0.3">
      <c r="A44" s="1">
        <v>38237</v>
      </c>
    </row>
    <row r="45" spans="1:1" x14ac:dyDescent="0.3">
      <c r="A45" s="1">
        <v>38272</v>
      </c>
    </row>
    <row r="46" spans="1:1" x14ac:dyDescent="0.3">
      <c r="A46" s="1">
        <v>38293</v>
      </c>
    </row>
    <row r="47" spans="1:1" x14ac:dyDescent="0.3">
      <c r="A47" s="1">
        <v>38306</v>
      </c>
    </row>
    <row r="48" spans="1:1" x14ac:dyDescent="0.3">
      <c r="A48" s="1">
        <v>38346</v>
      </c>
    </row>
    <row r="49" spans="1:1" x14ac:dyDescent="0.3">
      <c r="A49" s="1">
        <v>38353</v>
      </c>
    </row>
    <row r="50" spans="1:1" x14ac:dyDescent="0.3">
      <c r="A50" s="1">
        <v>38390</v>
      </c>
    </row>
    <row r="51" spans="1:1" x14ac:dyDescent="0.3">
      <c r="A51" s="1">
        <v>38391</v>
      </c>
    </row>
    <row r="52" spans="1:1" x14ac:dyDescent="0.3">
      <c r="A52" s="1">
        <v>38436</v>
      </c>
    </row>
    <row r="53" spans="1:1" x14ac:dyDescent="0.3">
      <c r="A53" s="1">
        <v>38463</v>
      </c>
    </row>
    <row r="54" spans="1:1" x14ac:dyDescent="0.3">
      <c r="A54" s="1">
        <v>38473</v>
      </c>
    </row>
    <row r="55" spans="1:1" x14ac:dyDescent="0.3">
      <c r="A55" s="1">
        <v>38498</v>
      </c>
    </row>
    <row r="56" spans="1:1" x14ac:dyDescent="0.3">
      <c r="A56" s="1">
        <v>38602</v>
      </c>
    </row>
    <row r="57" spans="1:1" x14ac:dyDescent="0.3">
      <c r="A57" s="1">
        <v>38637</v>
      </c>
    </row>
    <row r="58" spans="1:1" x14ac:dyDescent="0.3">
      <c r="A58" s="1">
        <v>38658</v>
      </c>
    </row>
    <row r="59" spans="1:1" x14ac:dyDescent="0.3">
      <c r="A59" s="1">
        <v>38671</v>
      </c>
    </row>
    <row r="60" spans="1:1" x14ac:dyDescent="0.3">
      <c r="A60" s="1">
        <v>38711</v>
      </c>
    </row>
    <row r="61" spans="1:1" x14ac:dyDescent="0.3">
      <c r="A61" s="1">
        <v>38718</v>
      </c>
    </row>
    <row r="62" spans="1:1" x14ac:dyDescent="0.3">
      <c r="A62" s="1">
        <v>38775</v>
      </c>
    </row>
    <row r="63" spans="1:1" x14ac:dyDescent="0.3">
      <c r="A63" s="1">
        <v>38776</v>
      </c>
    </row>
    <row r="64" spans="1:1" x14ac:dyDescent="0.3">
      <c r="A64" s="1">
        <v>38821</v>
      </c>
    </row>
    <row r="65" spans="1:1" x14ac:dyDescent="0.3">
      <c r="A65" s="1">
        <v>38828</v>
      </c>
    </row>
    <row r="66" spans="1:1" x14ac:dyDescent="0.3">
      <c r="A66" s="1">
        <v>38838</v>
      </c>
    </row>
    <row r="67" spans="1:1" x14ac:dyDescent="0.3">
      <c r="A67" s="1">
        <v>38883</v>
      </c>
    </row>
    <row r="68" spans="1:1" x14ac:dyDescent="0.3">
      <c r="A68" s="1">
        <v>38967</v>
      </c>
    </row>
    <row r="69" spans="1:1" x14ac:dyDescent="0.3">
      <c r="A69" s="1">
        <v>39002</v>
      </c>
    </row>
    <row r="70" spans="1:1" x14ac:dyDescent="0.3">
      <c r="A70" s="1">
        <v>39023</v>
      </c>
    </row>
    <row r="71" spans="1:1" x14ac:dyDescent="0.3">
      <c r="A71" s="1">
        <v>39036</v>
      </c>
    </row>
    <row r="72" spans="1:1" x14ac:dyDescent="0.3">
      <c r="A72" s="1">
        <v>39076</v>
      </c>
    </row>
    <row r="73" spans="1:1" x14ac:dyDescent="0.3">
      <c r="A73" s="1">
        <v>39083</v>
      </c>
    </row>
    <row r="74" spans="1:1" x14ac:dyDescent="0.3">
      <c r="A74" s="1">
        <v>39132</v>
      </c>
    </row>
    <row r="75" spans="1:1" x14ac:dyDescent="0.3">
      <c r="A75" s="1">
        <v>39133</v>
      </c>
    </row>
    <row r="76" spans="1:1" x14ac:dyDescent="0.3">
      <c r="A76" s="1">
        <v>39178</v>
      </c>
    </row>
    <row r="77" spans="1:1" x14ac:dyDescent="0.3">
      <c r="A77" s="1">
        <v>39193</v>
      </c>
    </row>
    <row r="78" spans="1:1" x14ac:dyDescent="0.3">
      <c r="A78" s="1">
        <v>39203</v>
      </c>
    </row>
    <row r="79" spans="1:1" x14ac:dyDescent="0.3">
      <c r="A79" s="1">
        <v>39240</v>
      </c>
    </row>
    <row r="80" spans="1:1" x14ac:dyDescent="0.3">
      <c r="A80" s="1">
        <v>39332</v>
      </c>
    </row>
    <row r="81" spans="1:1" x14ac:dyDescent="0.3">
      <c r="A81" s="1">
        <v>39367</v>
      </c>
    </row>
    <row r="82" spans="1:1" x14ac:dyDescent="0.3">
      <c r="A82" s="1">
        <v>39388</v>
      </c>
    </row>
    <row r="83" spans="1:1" x14ac:dyDescent="0.3">
      <c r="A83" s="1">
        <v>39401</v>
      </c>
    </row>
    <row r="84" spans="1:1" x14ac:dyDescent="0.3">
      <c r="A84" s="1">
        <v>39441</v>
      </c>
    </row>
    <row r="85" spans="1:1" x14ac:dyDescent="0.3">
      <c r="A85" s="1">
        <v>39448</v>
      </c>
    </row>
    <row r="86" spans="1:1" x14ac:dyDescent="0.3">
      <c r="A86" s="1">
        <v>39482</v>
      </c>
    </row>
    <row r="87" spans="1:1" x14ac:dyDescent="0.3">
      <c r="A87" s="1">
        <v>39483</v>
      </c>
    </row>
    <row r="88" spans="1:1" x14ac:dyDescent="0.3">
      <c r="A88" s="1">
        <v>39528</v>
      </c>
    </row>
    <row r="89" spans="1:1" x14ac:dyDescent="0.3">
      <c r="A89" s="1">
        <v>39559</v>
      </c>
    </row>
    <row r="90" spans="1:1" x14ac:dyDescent="0.3">
      <c r="A90" s="1">
        <v>39569</v>
      </c>
    </row>
    <row r="91" spans="1:1" x14ac:dyDescent="0.3">
      <c r="A91" s="1">
        <v>39590</v>
      </c>
    </row>
    <row r="92" spans="1:1" x14ac:dyDescent="0.3">
      <c r="A92" s="1">
        <v>39698</v>
      </c>
    </row>
    <row r="93" spans="1:1" x14ac:dyDescent="0.3">
      <c r="A93" s="1">
        <v>39733</v>
      </c>
    </row>
    <row r="94" spans="1:1" x14ac:dyDescent="0.3">
      <c r="A94" s="1">
        <v>39754</v>
      </c>
    </row>
    <row r="95" spans="1:1" x14ac:dyDescent="0.3">
      <c r="A95" s="1">
        <v>39767</v>
      </c>
    </row>
    <row r="96" spans="1:1" x14ac:dyDescent="0.3">
      <c r="A96" s="1">
        <v>39807</v>
      </c>
    </row>
    <row r="97" spans="1:1" x14ac:dyDescent="0.3">
      <c r="A97" s="1">
        <v>39814</v>
      </c>
    </row>
    <row r="98" spans="1:1" x14ac:dyDescent="0.3">
      <c r="A98" s="1">
        <v>39867</v>
      </c>
    </row>
    <row r="99" spans="1:1" x14ac:dyDescent="0.3">
      <c r="A99" s="1">
        <v>39868</v>
      </c>
    </row>
    <row r="100" spans="1:1" x14ac:dyDescent="0.3">
      <c r="A100" s="1">
        <v>39913</v>
      </c>
    </row>
    <row r="101" spans="1:1" x14ac:dyDescent="0.3">
      <c r="A101" s="1">
        <v>39924</v>
      </c>
    </row>
    <row r="102" spans="1:1" x14ac:dyDescent="0.3">
      <c r="A102" s="1">
        <v>39934</v>
      </c>
    </row>
    <row r="103" spans="1:1" x14ac:dyDescent="0.3">
      <c r="A103" s="1">
        <v>39975</v>
      </c>
    </row>
    <row r="104" spans="1:1" x14ac:dyDescent="0.3">
      <c r="A104" s="1">
        <v>40063</v>
      </c>
    </row>
    <row r="105" spans="1:1" x14ac:dyDescent="0.3">
      <c r="A105" s="1">
        <v>40098</v>
      </c>
    </row>
    <row r="106" spans="1:1" x14ac:dyDescent="0.3">
      <c r="A106" s="1">
        <v>40119</v>
      </c>
    </row>
    <row r="107" spans="1:1" x14ac:dyDescent="0.3">
      <c r="A107" s="1">
        <v>40132</v>
      </c>
    </row>
    <row r="108" spans="1:1" x14ac:dyDescent="0.3">
      <c r="A108" s="1">
        <v>40172</v>
      </c>
    </row>
    <row r="109" spans="1:1" x14ac:dyDescent="0.3">
      <c r="A109" s="1">
        <v>40179</v>
      </c>
    </row>
    <row r="110" spans="1:1" x14ac:dyDescent="0.3">
      <c r="A110" s="1">
        <v>40224</v>
      </c>
    </row>
    <row r="111" spans="1:1" x14ac:dyDescent="0.3">
      <c r="A111" s="1">
        <v>40225</v>
      </c>
    </row>
    <row r="112" spans="1:1" x14ac:dyDescent="0.3">
      <c r="A112" s="1">
        <v>40270</v>
      </c>
    </row>
    <row r="113" spans="1:1" x14ac:dyDescent="0.3">
      <c r="A113" s="1">
        <v>40289</v>
      </c>
    </row>
    <row r="114" spans="1:1" x14ac:dyDescent="0.3">
      <c r="A114" s="1">
        <v>40299</v>
      </c>
    </row>
    <row r="115" spans="1:1" x14ac:dyDescent="0.3">
      <c r="A115" s="1">
        <v>40332</v>
      </c>
    </row>
    <row r="116" spans="1:1" x14ac:dyDescent="0.3">
      <c r="A116" s="1">
        <v>40428</v>
      </c>
    </row>
    <row r="117" spans="1:1" x14ac:dyDescent="0.3">
      <c r="A117" s="1">
        <v>40463</v>
      </c>
    </row>
    <row r="118" spans="1:1" x14ac:dyDescent="0.3">
      <c r="A118" s="1">
        <v>40484</v>
      </c>
    </row>
    <row r="119" spans="1:1" x14ac:dyDescent="0.3">
      <c r="A119" s="1">
        <v>40497</v>
      </c>
    </row>
    <row r="120" spans="1:1" x14ac:dyDescent="0.3">
      <c r="A120" s="1">
        <v>40537</v>
      </c>
    </row>
    <row r="121" spans="1:1" x14ac:dyDescent="0.3">
      <c r="A121" s="1">
        <v>40544</v>
      </c>
    </row>
    <row r="122" spans="1:1" x14ac:dyDescent="0.3">
      <c r="A122" s="1">
        <v>40609</v>
      </c>
    </row>
    <row r="123" spans="1:1" x14ac:dyDescent="0.3">
      <c r="A123" s="1">
        <v>40610</v>
      </c>
    </row>
    <row r="124" spans="1:1" x14ac:dyDescent="0.3">
      <c r="A124" s="1">
        <v>40654</v>
      </c>
    </row>
    <row r="125" spans="1:1" x14ac:dyDescent="0.3">
      <c r="A125" s="1">
        <v>40655</v>
      </c>
    </row>
    <row r="126" spans="1:1" x14ac:dyDescent="0.3">
      <c r="A126" s="1">
        <v>40664</v>
      </c>
    </row>
    <row r="127" spans="1:1" x14ac:dyDescent="0.3">
      <c r="A127" s="1">
        <v>40717</v>
      </c>
    </row>
    <row r="128" spans="1:1" x14ac:dyDescent="0.3">
      <c r="A128" s="1">
        <v>40793</v>
      </c>
    </row>
    <row r="129" spans="1:1" x14ac:dyDescent="0.3">
      <c r="A129" s="1">
        <v>40828</v>
      </c>
    </row>
    <row r="130" spans="1:1" x14ac:dyDescent="0.3">
      <c r="A130" s="1">
        <v>40849</v>
      </c>
    </row>
    <row r="131" spans="1:1" x14ac:dyDescent="0.3">
      <c r="A131" s="1">
        <v>40862</v>
      </c>
    </row>
    <row r="132" spans="1:1" x14ac:dyDescent="0.3">
      <c r="A132" s="1">
        <v>40902</v>
      </c>
    </row>
    <row r="133" spans="1:1" x14ac:dyDescent="0.3">
      <c r="A133" s="1">
        <v>40909</v>
      </c>
    </row>
    <row r="134" spans="1:1" x14ac:dyDescent="0.3">
      <c r="A134" s="1">
        <v>40959</v>
      </c>
    </row>
    <row r="135" spans="1:1" x14ac:dyDescent="0.3">
      <c r="A135" s="1">
        <v>40960</v>
      </c>
    </row>
    <row r="136" spans="1:1" x14ac:dyDescent="0.3">
      <c r="A136" s="1">
        <v>41005</v>
      </c>
    </row>
    <row r="137" spans="1:1" x14ac:dyDescent="0.3">
      <c r="A137" s="1">
        <v>41020</v>
      </c>
    </row>
    <row r="138" spans="1:1" x14ac:dyDescent="0.3">
      <c r="A138" s="1">
        <v>41030</v>
      </c>
    </row>
    <row r="139" spans="1:1" x14ac:dyDescent="0.3">
      <c r="A139" s="1">
        <v>41067</v>
      </c>
    </row>
    <row r="140" spans="1:1" x14ac:dyDescent="0.3">
      <c r="A140" s="1">
        <v>41159</v>
      </c>
    </row>
    <row r="141" spans="1:1" x14ac:dyDescent="0.3">
      <c r="A141" s="1">
        <v>41194</v>
      </c>
    </row>
    <row r="142" spans="1:1" x14ac:dyDescent="0.3">
      <c r="A142" s="1">
        <v>41215</v>
      </c>
    </row>
    <row r="143" spans="1:1" x14ac:dyDescent="0.3">
      <c r="A143" s="1">
        <v>41228</v>
      </c>
    </row>
    <row r="144" spans="1:1" x14ac:dyDescent="0.3">
      <c r="A144" s="1">
        <v>41268</v>
      </c>
    </row>
    <row r="145" spans="1:1" x14ac:dyDescent="0.3">
      <c r="A145" s="1">
        <v>41275</v>
      </c>
    </row>
    <row r="146" spans="1:1" x14ac:dyDescent="0.3">
      <c r="A146" s="1">
        <v>41316</v>
      </c>
    </row>
    <row r="147" spans="1:1" x14ac:dyDescent="0.3">
      <c r="A147" s="1">
        <v>41317</v>
      </c>
    </row>
    <row r="148" spans="1:1" x14ac:dyDescent="0.3">
      <c r="A148" s="1">
        <v>41362</v>
      </c>
    </row>
    <row r="149" spans="1:1" x14ac:dyDescent="0.3">
      <c r="A149" s="1">
        <v>41385</v>
      </c>
    </row>
    <row r="150" spans="1:1" x14ac:dyDescent="0.3">
      <c r="A150" s="1">
        <v>41395</v>
      </c>
    </row>
    <row r="151" spans="1:1" x14ac:dyDescent="0.3">
      <c r="A151" s="1">
        <v>41424</v>
      </c>
    </row>
    <row r="152" spans="1:1" x14ac:dyDescent="0.3">
      <c r="A152" s="1">
        <v>41524</v>
      </c>
    </row>
    <row r="153" spans="1:1" x14ac:dyDescent="0.3">
      <c r="A153" s="1">
        <v>41559</v>
      </c>
    </row>
    <row r="154" spans="1:1" x14ac:dyDescent="0.3">
      <c r="A154" s="1">
        <v>41580</v>
      </c>
    </row>
    <row r="155" spans="1:1" x14ac:dyDescent="0.3">
      <c r="A155" s="1">
        <v>41593</v>
      </c>
    </row>
    <row r="156" spans="1:1" x14ac:dyDescent="0.3">
      <c r="A156" s="1">
        <v>41633</v>
      </c>
    </row>
    <row r="157" spans="1:1" x14ac:dyDescent="0.3">
      <c r="A157" s="1">
        <v>41640</v>
      </c>
    </row>
    <row r="158" spans="1:1" x14ac:dyDescent="0.3">
      <c r="A158" s="1">
        <v>41701</v>
      </c>
    </row>
    <row r="159" spans="1:1" x14ac:dyDescent="0.3">
      <c r="A159" s="1">
        <v>41702</v>
      </c>
    </row>
    <row r="160" spans="1:1" x14ac:dyDescent="0.3">
      <c r="A160" s="1">
        <v>41747</v>
      </c>
    </row>
    <row r="161" spans="1:1" x14ac:dyDescent="0.3">
      <c r="A161" s="1">
        <v>41750</v>
      </c>
    </row>
    <row r="162" spans="1:1" x14ac:dyDescent="0.3">
      <c r="A162" s="1">
        <v>41760</v>
      </c>
    </row>
    <row r="163" spans="1:1" x14ac:dyDescent="0.3">
      <c r="A163" s="1">
        <v>41809</v>
      </c>
    </row>
    <row r="164" spans="1:1" x14ac:dyDescent="0.3">
      <c r="A164" s="1">
        <v>41889</v>
      </c>
    </row>
    <row r="165" spans="1:1" x14ac:dyDescent="0.3">
      <c r="A165" s="1">
        <v>41924</v>
      </c>
    </row>
    <row r="166" spans="1:1" x14ac:dyDescent="0.3">
      <c r="A166" s="1">
        <v>41945</v>
      </c>
    </row>
    <row r="167" spans="1:1" x14ac:dyDescent="0.3">
      <c r="A167" s="1">
        <v>41958</v>
      </c>
    </row>
    <row r="168" spans="1:1" x14ac:dyDescent="0.3">
      <c r="A168" s="1">
        <v>41998</v>
      </c>
    </row>
    <row r="169" spans="1:1" x14ac:dyDescent="0.3">
      <c r="A169" s="1">
        <v>42005</v>
      </c>
    </row>
    <row r="170" spans="1:1" x14ac:dyDescent="0.3">
      <c r="A170" s="1">
        <v>42051</v>
      </c>
    </row>
    <row r="171" spans="1:1" x14ac:dyDescent="0.3">
      <c r="A171" s="1">
        <v>42052</v>
      </c>
    </row>
    <row r="172" spans="1:1" x14ac:dyDescent="0.3">
      <c r="A172" s="1">
        <v>42097</v>
      </c>
    </row>
    <row r="173" spans="1:1" x14ac:dyDescent="0.3">
      <c r="A173" s="1">
        <v>42115</v>
      </c>
    </row>
    <row r="174" spans="1:1" x14ac:dyDescent="0.3">
      <c r="A174" s="1">
        <v>42125</v>
      </c>
    </row>
    <row r="175" spans="1:1" x14ac:dyDescent="0.3">
      <c r="A175" s="1">
        <v>42159</v>
      </c>
    </row>
    <row r="176" spans="1:1" x14ac:dyDescent="0.3">
      <c r="A176" s="1">
        <v>42254</v>
      </c>
    </row>
    <row r="177" spans="1:1" x14ac:dyDescent="0.3">
      <c r="A177" s="1">
        <v>42289</v>
      </c>
    </row>
    <row r="178" spans="1:1" x14ac:dyDescent="0.3">
      <c r="A178" s="1">
        <v>42310</v>
      </c>
    </row>
    <row r="179" spans="1:1" x14ac:dyDescent="0.3">
      <c r="A179" s="1">
        <v>42323</v>
      </c>
    </row>
    <row r="180" spans="1:1" x14ac:dyDescent="0.3">
      <c r="A180" s="1">
        <v>42363</v>
      </c>
    </row>
    <row r="181" spans="1:1" x14ac:dyDescent="0.3">
      <c r="A181" s="1">
        <v>42370</v>
      </c>
    </row>
    <row r="182" spans="1:1" x14ac:dyDescent="0.3">
      <c r="A182" s="1">
        <v>42408</v>
      </c>
    </row>
    <row r="183" spans="1:1" x14ac:dyDescent="0.3">
      <c r="A183" s="1">
        <v>42409</v>
      </c>
    </row>
    <row r="184" spans="1:1" x14ac:dyDescent="0.3">
      <c r="A184" s="1">
        <v>42454</v>
      </c>
    </row>
    <row r="185" spans="1:1" x14ac:dyDescent="0.3">
      <c r="A185" s="1">
        <v>42481</v>
      </c>
    </row>
    <row r="186" spans="1:1" x14ac:dyDescent="0.3">
      <c r="A186" s="1">
        <v>42491</v>
      </c>
    </row>
    <row r="187" spans="1:1" x14ac:dyDescent="0.3">
      <c r="A187" s="1">
        <v>42516</v>
      </c>
    </row>
    <row r="188" spans="1:1" x14ac:dyDescent="0.3">
      <c r="A188" s="1">
        <v>42620</v>
      </c>
    </row>
    <row r="189" spans="1:1" x14ac:dyDescent="0.3">
      <c r="A189" s="1">
        <v>42655</v>
      </c>
    </row>
    <row r="190" spans="1:1" x14ac:dyDescent="0.3">
      <c r="A190" s="1">
        <v>42676</v>
      </c>
    </row>
    <row r="191" spans="1:1" x14ac:dyDescent="0.3">
      <c r="A191" s="1">
        <v>42689</v>
      </c>
    </row>
    <row r="192" spans="1:1" x14ac:dyDescent="0.3">
      <c r="A192" s="1">
        <v>42729</v>
      </c>
    </row>
    <row r="193" spans="1:1" x14ac:dyDescent="0.3">
      <c r="A193" s="1">
        <v>42736</v>
      </c>
    </row>
    <row r="194" spans="1:1" x14ac:dyDescent="0.3">
      <c r="A194" s="1">
        <v>42793</v>
      </c>
    </row>
    <row r="195" spans="1:1" x14ac:dyDescent="0.3">
      <c r="A195" s="1">
        <v>42794</v>
      </c>
    </row>
    <row r="196" spans="1:1" x14ac:dyDescent="0.3">
      <c r="A196" s="1">
        <v>42839</v>
      </c>
    </row>
    <row r="197" spans="1:1" x14ac:dyDescent="0.3">
      <c r="A197" s="1">
        <v>42846</v>
      </c>
    </row>
    <row r="198" spans="1:1" x14ac:dyDescent="0.3">
      <c r="A198" s="1">
        <v>42856</v>
      </c>
    </row>
    <row r="199" spans="1:1" x14ac:dyDescent="0.3">
      <c r="A199" s="1">
        <v>42901</v>
      </c>
    </row>
    <row r="200" spans="1:1" x14ac:dyDescent="0.3">
      <c r="A200" s="1">
        <v>42985</v>
      </c>
    </row>
    <row r="201" spans="1:1" x14ac:dyDescent="0.3">
      <c r="A201" s="1">
        <v>43020</v>
      </c>
    </row>
    <row r="202" spans="1:1" x14ac:dyDescent="0.3">
      <c r="A202" s="1">
        <v>43041</v>
      </c>
    </row>
    <row r="203" spans="1:1" x14ac:dyDescent="0.3">
      <c r="A203" s="1">
        <v>43054</v>
      </c>
    </row>
    <row r="204" spans="1:1" x14ac:dyDescent="0.3">
      <c r="A204" s="1">
        <v>43094</v>
      </c>
    </row>
    <row r="205" spans="1:1" x14ac:dyDescent="0.3">
      <c r="A205" s="1">
        <v>43101</v>
      </c>
    </row>
    <row r="206" spans="1:1" x14ac:dyDescent="0.3">
      <c r="A206" s="1">
        <v>43143</v>
      </c>
    </row>
    <row r="207" spans="1:1" x14ac:dyDescent="0.3">
      <c r="A207" s="1">
        <v>43144</v>
      </c>
    </row>
    <row r="208" spans="1:1" x14ac:dyDescent="0.3">
      <c r="A208" s="1">
        <v>43189</v>
      </c>
    </row>
    <row r="209" spans="1:1" x14ac:dyDescent="0.3">
      <c r="A209" s="1">
        <v>43211</v>
      </c>
    </row>
    <row r="210" spans="1:1" x14ac:dyDescent="0.3">
      <c r="A210" s="1">
        <v>43221</v>
      </c>
    </row>
    <row r="211" spans="1:1" x14ac:dyDescent="0.3">
      <c r="A211" s="1">
        <v>43251</v>
      </c>
    </row>
    <row r="212" spans="1:1" x14ac:dyDescent="0.3">
      <c r="A212" s="1">
        <v>43350</v>
      </c>
    </row>
    <row r="213" spans="1:1" x14ac:dyDescent="0.3">
      <c r="A213" s="1">
        <v>43385</v>
      </c>
    </row>
    <row r="214" spans="1:1" x14ac:dyDescent="0.3">
      <c r="A214" s="1">
        <v>43406</v>
      </c>
    </row>
    <row r="215" spans="1:1" x14ac:dyDescent="0.3">
      <c r="A215" s="1">
        <v>43419</v>
      </c>
    </row>
    <row r="216" spans="1:1" x14ac:dyDescent="0.3">
      <c r="A216" s="1">
        <v>43459</v>
      </c>
    </row>
    <row r="217" spans="1:1" x14ac:dyDescent="0.3">
      <c r="A217" s="1">
        <v>43466</v>
      </c>
    </row>
    <row r="218" spans="1:1" x14ac:dyDescent="0.3">
      <c r="A218" s="1">
        <v>43528</v>
      </c>
    </row>
    <row r="219" spans="1:1" x14ac:dyDescent="0.3">
      <c r="A219" s="1">
        <v>43529</v>
      </c>
    </row>
    <row r="220" spans="1:1" x14ac:dyDescent="0.3">
      <c r="A220" s="1">
        <v>43574</v>
      </c>
    </row>
    <row r="221" spans="1:1" x14ac:dyDescent="0.3">
      <c r="A221" s="1">
        <v>43576</v>
      </c>
    </row>
    <row r="222" spans="1:1" x14ac:dyDescent="0.3">
      <c r="A222" s="1">
        <v>43586</v>
      </c>
    </row>
    <row r="223" spans="1:1" x14ac:dyDescent="0.3">
      <c r="A223" s="1">
        <v>43636</v>
      </c>
    </row>
    <row r="224" spans="1:1" x14ac:dyDescent="0.3">
      <c r="A224" s="1">
        <v>43715</v>
      </c>
    </row>
    <row r="225" spans="1:1" x14ac:dyDescent="0.3">
      <c r="A225" s="1">
        <v>43750</v>
      </c>
    </row>
    <row r="226" spans="1:1" x14ac:dyDescent="0.3">
      <c r="A226" s="1">
        <v>43771</v>
      </c>
    </row>
    <row r="227" spans="1:1" x14ac:dyDescent="0.3">
      <c r="A227" s="1">
        <v>43784</v>
      </c>
    </row>
    <row r="228" spans="1:1" x14ac:dyDescent="0.3">
      <c r="A228" s="1">
        <v>43824</v>
      </c>
    </row>
    <row r="229" spans="1:1" x14ac:dyDescent="0.3">
      <c r="A229" s="1">
        <v>43831</v>
      </c>
    </row>
    <row r="230" spans="1:1" x14ac:dyDescent="0.3">
      <c r="A230" s="1">
        <v>43885</v>
      </c>
    </row>
    <row r="231" spans="1:1" x14ac:dyDescent="0.3">
      <c r="A231" s="1">
        <v>43886</v>
      </c>
    </row>
    <row r="232" spans="1:1" x14ac:dyDescent="0.3">
      <c r="A232" s="1">
        <v>43931</v>
      </c>
    </row>
    <row r="233" spans="1:1" x14ac:dyDescent="0.3">
      <c r="A233" s="1">
        <v>43942</v>
      </c>
    </row>
    <row r="234" spans="1:1" x14ac:dyDescent="0.3">
      <c r="A234" s="1">
        <v>43952</v>
      </c>
    </row>
    <row r="235" spans="1:1" x14ac:dyDescent="0.3">
      <c r="A235" s="1">
        <v>43993</v>
      </c>
    </row>
    <row r="236" spans="1:1" x14ac:dyDescent="0.3">
      <c r="A236" s="1">
        <v>44081</v>
      </c>
    </row>
    <row r="237" spans="1:1" x14ac:dyDescent="0.3">
      <c r="A237" s="1">
        <v>44116</v>
      </c>
    </row>
    <row r="238" spans="1:1" x14ac:dyDescent="0.3">
      <c r="A238" s="1">
        <v>44137</v>
      </c>
    </row>
    <row r="239" spans="1:1" x14ac:dyDescent="0.3">
      <c r="A239" s="1">
        <v>44150</v>
      </c>
    </row>
    <row r="240" spans="1:1" x14ac:dyDescent="0.3">
      <c r="A240" s="1">
        <v>44190</v>
      </c>
    </row>
    <row r="241" spans="1:1" x14ac:dyDescent="0.3">
      <c r="A241" s="1">
        <v>44197</v>
      </c>
    </row>
    <row r="242" spans="1:1" x14ac:dyDescent="0.3">
      <c r="A242" s="1">
        <v>44242</v>
      </c>
    </row>
    <row r="243" spans="1:1" x14ac:dyDescent="0.3">
      <c r="A243" s="1">
        <v>44243</v>
      </c>
    </row>
    <row r="244" spans="1:1" x14ac:dyDescent="0.3">
      <c r="A244" s="1">
        <v>44288</v>
      </c>
    </row>
    <row r="245" spans="1:1" x14ac:dyDescent="0.3">
      <c r="A245" s="1">
        <v>44307</v>
      </c>
    </row>
    <row r="246" spans="1:1" x14ac:dyDescent="0.3">
      <c r="A246" s="1">
        <v>44317</v>
      </c>
    </row>
    <row r="247" spans="1:1" x14ac:dyDescent="0.3">
      <c r="A247" s="1">
        <v>44350</v>
      </c>
    </row>
    <row r="248" spans="1:1" x14ac:dyDescent="0.3">
      <c r="A248" s="1">
        <v>44446</v>
      </c>
    </row>
    <row r="249" spans="1:1" x14ac:dyDescent="0.3">
      <c r="A249" s="1">
        <v>44481</v>
      </c>
    </row>
    <row r="250" spans="1:1" x14ac:dyDescent="0.3">
      <c r="A250" s="1">
        <v>44502</v>
      </c>
    </row>
    <row r="251" spans="1:1" x14ac:dyDescent="0.3">
      <c r="A251" s="1">
        <v>44515</v>
      </c>
    </row>
    <row r="252" spans="1:1" x14ac:dyDescent="0.3">
      <c r="A252" s="1">
        <v>44555</v>
      </c>
    </row>
    <row r="253" spans="1:1" x14ac:dyDescent="0.3">
      <c r="A253" s="1">
        <v>44562</v>
      </c>
    </row>
    <row r="254" spans="1:1" x14ac:dyDescent="0.3">
      <c r="A254" s="1">
        <v>44620</v>
      </c>
    </row>
    <row r="255" spans="1:1" x14ac:dyDescent="0.3">
      <c r="A255" s="1">
        <v>44621</v>
      </c>
    </row>
    <row r="256" spans="1:1" x14ac:dyDescent="0.3">
      <c r="A256" s="1">
        <v>44666</v>
      </c>
    </row>
    <row r="257" spans="1:1" x14ac:dyDescent="0.3">
      <c r="A257" s="1">
        <v>44672</v>
      </c>
    </row>
    <row r="258" spans="1:1" x14ac:dyDescent="0.3">
      <c r="A258" s="1">
        <v>44682</v>
      </c>
    </row>
    <row r="259" spans="1:1" x14ac:dyDescent="0.3">
      <c r="A259" s="1">
        <v>44728</v>
      </c>
    </row>
    <row r="260" spans="1:1" x14ac:dyDescent="0.3">
      <c r="A260" s="1">
        <v>44811</v>
      </c>
    </row>
    <row r="261" spans="1:1" x14ac:dyDescent="0.3">
      <c r="A261" s="1">
        <v>44846</v>
      </c>
    </row>
    <row r="262" spans="1:1" x14ac:dyDescent="0.3">
      <c r="A262" s="1">
        <v>44867</v>
      </c>
    </row>
    <row r="263" spans="1:1" x14ac:dyDescent="0.3">
      <c r="A263" s="1">
        <v>44880</v>
      </c>
    </row>
    <row r="264" spans="1:1" x14ac:dyDescent="0.3">
      <c r="A264" s="1">
        <v>44920</v>
      </c>
    </row>
    <row r="265" spans="1:1" x14ac:dyDescent="0.3">
      <c r="A265" s="1">
        <v>44927</v>
      </c>
    </row>
    <row r="266" spans="1:1" x14ac:dyDescent="0.3">
      <c r="A266" s="1">
        <v>44977</v>
      </c>
    </row>
    <row r="267" spans="1:1" x14ac:dyDescent="0.3">
      <c r="A267" s="1">
        <v>44978</v>
      </c>
    </row>
    <row r="268" spans="1:1" x14ac:dyDescent="0.3">
      <c r="A268" s="1">
        <v>45023</v>
      </c>
    </row>
    <row r="269" spans="1:1" x14ac:dyDescent="0.3">
      <c r="A269" s="1">
        <v>45037</v>
      </c>
    </row>
    <row r="270" spans="1:1" x14ac:dyDescent="0.3">
      <c r="A270" s="1">
        <v>45047</v>
      </c>
    </row>
    <row r="271" spans="1:1" x14ac:dyDescent="0.3">
      <c r="A271" s="1">
        <v>45085</v>
      </c>
    </row>
    <row r="272" spans="1:1" x14ac:dyDescent="0.3">
      <c r="A272" s="1">
        <v>45176</v>
      </c>
    </row>
    <row r="273" spans="1:1" x14ac:dyDescent="0.3">
      <c r="A273" s="1">
        <v>45211</v>
      </c>
    </row>
    <row r="274" spans="1:1" x14ac:dyDescent="0.3">
      <c r="A274" s="1">
        <v>45232</v>
      </c>
    </row>
    <row r="275" spans="1:1" x14ac:dyDescent="0.3">
      <c r="A275" s="1">
        <v>45245</v>
      </c>
    </row>
    <row r="276" spans="1:1" x14ac:dyDescent="0.3">
      <c r="A276" s="1">
        <v>45285</v>
      </c>
    </row>
    <row r="277" spans="1:1" x14ac:dyDescent="0.3">
      <c r="A277" s="1">
        <v>45292</v>
      </c>
    </row>
    <row r="278" spans="1:1" x14ac:dyDescent="0.3">
      <c r="A278" s="1">
        <v>45334</v>
      </c>
    </row>
    <row r="279" spans="1:1" x14ac:dyDescent="0.3">
      <c r="A279" s="1">
        <v>45335</v>
      </c>
    </row>
    <row r="280" spans="1:1" x14ac:dyDescent="0.3">
      <c r="A280" s="1">
        <v>45380</v>
      </c>
    </row>
    <row r="281" spans="1:1" x14ac:dyDescent="0.3">
      <c r="A281" s="1">
        <v>45403</v>
      </c>
    </row>
    <row r="282" spans="1:1" x14ac:dyDescent="0.3">
      <c r="A282" s="1">
        <v>45413</v>
      </c>
    </row>
    <row r="283" spans="1:1" x14ac:dyDescent="0.3">
      <c r="A283" s="1">
        <v>45442</v>
      </c>
    </row>
    <row r="284" spans="1:1" x14ac:dyDescent="0.3">
      <c r="A284" s="1">
        <v>45542</v>
      </c>
    </row>
    <row r="285" spans="1:1" x14ac:dyDescent="0.3">
      <c r="A285" s="1">
        <v>45577</v>
      </c>
    </row>
    <row r="286" spans="1:1" x14ac:dyDescent="0.3">
      <c r="A286" s="1">
        <v>45598</v>
      </c>
    </row>
    <row r="287" spans="1:1" x14ac:dyDescent="0.3">
      <c r="A287" s="1">
        <v>45611</v>
      </c>
    </row>
    <row r="288" spans="1:1" x14ac:dyDescent="0.3">
      <c r="A288" s="1">
        <v>45651</v>
      </c>
    </row>
    <row r="289" spans="1:1" x14ac:dyDescent="0.3">
      <c r="A289" s="1">
        <v>45658</v>
      </c>
    </row>
    <row r="290" spans="1:1" x14ac:dyDescent="0.3">
      <c r="A290" s="1">
        <v>45719</v>
      </c>
    </row>
    <row r="291" spans="1:1" x14ac:dyDescent="0.3">
      <c r="A291" s="1">
        <v>45720</v>
      </c>
    </row>
    <row r="292" spans="1:1" x14ac:dyDescent="0.3">
      <c r="A292" s="1">
        <v>45765</v>
      </c>
    </row>
    <row r="293" spans="1:1" x14ac:dyDescent="0.3">
      <c r="A293" s="1">
        <v>45768</v>
      </c>
    </row>
    <row r="294" spans="1:1" x14ac:dyDescent="0.3">
      <c r="A294" s="1">
        <v>45778</v>
      </c>
    </row>
    <row r="295" spans="1:1" x14ac:dyDescent="0.3">
      <c r="A295" s="1">
        <v>45827</v>
      </c>
    </row>
    <row r="296" spans="1:1" x14ac:dyDescent="0.3">
      <c r="A296" s="1">
        <v>45907</v>
      </c>
    </row>
    <row r="297" spans="1:1" x14ac:dyDescent="0.3">
      <c r="A297" s="1">
        <v>45942</v>
      </c>
    </row>
    <row r="298" spans="1:1" x14ac:dyDescent="0.3">
      <c r="A298" s="1">
        <v>45963</v>
      </c>
    </row>
    <row r="299" spans="1:1" x14ac:dyDescent="0.3">
      <c r="A299" s="1">
        <v>45976</v>
      </c>
    </row>
    <row r="300" spans="1:1" x14ac:dyDescent="0.3">
      <c r="A300" s="1">
        <v>46016</v>
      </c>
    </row>
    <row r="301" spans="1:1" x14ac:dyDescent="0.3">
      <c r="A301" s="1">
        <v>46023</v>
      </c>
    </row>
    <row r="302" spans="1:1" x14ac:dyDescent="0.3">
      <c r="A302" s="1">
        <v>46069</v>
      </c>
    </row>
    <row r="303" spans="1:1" x14ac:dyDescent="0.3">
      <c r="A303" s="1">
        <v>46070</v>
      </c>
    </row>
    <row r="304" spans="1:1" x14ac:dyDescent="0.3">
      <c r="A304" s="1">
        <v>46115</v>
      </c>
    </row>
    <row r="305" spans="1:1" x14ac:dyDescent="0.3">
      <c r="A305" s="1">
        <v>46133</v>
      </c>
    </row>
    <row r="306" spans="1:1" x14ac:dyDescent="0.3">
      <c r="A306" s="1">
        <v>46143</v>
      </c>
    </row>
    <row r="307" spans="1:1" x14ac:dyDescent="0.3">
      <c r="A307" s="1">
        <v>46177</v>
      </c>
    </row>
    <row r="308" spans="1:1" x14ac:dyDescent="0.3">
      <c r="A308" s="1">
        <v>46272</v>
      </c>
    </row>
    <row r="309" spans="1:1" x14ac:dyDescent="0.3">
      <c r="A309" s="1">
        <v>46307</v>
      </c>
    </row>
    <row r="310" spans="1:1" x14ac:dyDescent="0.3">
      <c r="A310" s="1">
        <v>46328</v>
      </c>
    </row>
    <row r="311" spans="1:1" x14ac:dyDescent="0.3">
      <c r="A311" s="1">
        <v>46341</v>
      </c>
    </row>
    <row r="312" spans="1:1" x14ac:dyDescent="0.3">
      <c r="A312" s="1">
        <v>46381</v>
      </c>
    </row>
    <row r="313" spans="1:1" x14ac:dyDescent="0.3">
      <c r="A313" s="1">
        <v>46388</v>
      </c>
    </row>
    <row r="314" spans="1:1" x14ac:dyDescent="0.3">
      <c r="A314" s="1">
        <v>46426</v>
      </c>
    </row>
    <row r="315" spans="1:1" x14ac:dyDescent="0.3">
      <c r="A315" s="1">
        <v>46427</v>
      </c>
    </row>
    <row r="316" spans="1:1" x14ac:dyDescent="0.3">
      <c r="A316" s="1">
        <v>46472</v>
      </c>
    </row>
    <row r="317" spans="1:1" x14ac:dyDescent="0.3">
      <c r="A317" s="1">
        <v>46498</v>
      </c>
    </row>
    <row r="318" spans="1:1" x14ac:dyDescent="0.3">
      <c r="A318" s="1">
        <v>46508</v>
      </c>
    </row>
    <row r="319" spans="1:1" x14ac:dyDescent="0.3">
      <c r="A319" s="1">
        <v>46534</v>
      </c>
    </row>
    <row r="320" spans="1:1" x14ac:dyDescent="0.3">
      <c r="A320" s="1">
        <v>46637</v>
      </c>
    </row>
    <row r="321" spans="1:1" x14ac:dyDescent="0.3">
      <c r="A321" s="1">
        <v>46672</v>
      </c>
    </row>
    <row r="322" spans="1:1" x14ac:dyDescent="0.3">
      <c r="A322" s="1">
        <v>46693</v>
      </c>
    </row>
    <row r="323" spans="1:1" x14ac:dyDescent="0.3">
      <c r="A323" s="1">
        <v>46706</v>
      </c>
    </row>
    <row r="324" spans="1:1" x14ac:dyDescent="0.3">
      <c r="A324" s="1">
        <v>46746</v>
      </c>
    </row>
    <row r="325" spans="1:1" x14ac:dyDescent="0.3">
      <c r="A325" s="1">
        <v>46753</v>
      </c>
    </row>
    <row r="326" spans="1:1" x14ac:dyDescent="0.3">
      <c r="A326" s="1">
        <v>46811</v>
      </c>
    </row>
    <row r="327" spans="1:1" x14ac:dyDescent="0.3">
      <c r="A327" s="1">
        <v>46812</v>
      </c>
    </row>
    <row r="328" spans="1:1" x14ac:dyDescent="0.3">
      <c r="A328" s="1">
        <v>46857</v>
      </c>
    </row>
    <row r="329" spans="1:1" x14ac:dyDescent="0.3">
      <c r="A329" s="1">
        <v>46864</v>
      </c>
    </row>
    <row r="330" spans="1:1" x14ac:dyDescent="0.3">
      <c r="A330" s="1">
        <v>46874</v>
      </c>
    </row>
    <row r="331" spans="1:1" x14ac:dyDescent="0.3">
      <c r="A331" s="1">
        <v>46919</v>
      </c>
    </row>
    <row r="332" spans="1:1" x14ac:dyDescent="0.3">
      <c r="A332" s="1">
        <v>47003</v>
      </c>
    </row>
    <row r="333" spans="1:1" x14ac:dyDescent="0.3">
      <c r="A333" s="1">
        <v>47038</v>
      </c>
    </row>
    <row r="334" spans="1:1" x14ac:dyDescent="0.3">
      <c r="A334" s="1">
        <v>47059</v>
      </c>
    </row>
    <row r="335" spans="1:1" x14ac:dyDescent="0.3">
      <c r="A335" s="1">
        <v>47072</v>
      </c>
    </row>
    <row r="336" spans="1:1" x14ac:dyDescent="0.3">
      <c r="A336" s="1">
        <v>47112</v>
      </c>
    </row>
    <row r="337" spans="1:1" x14ac:dyDescent="0.3">
      <c r="A337" s="1">
        <v>47119</v>
      </c>
    </row>
    <row r="338" spans="1:1" x14ac:dyDescent="0.3">
      <c r="A338" s="1">
        <v>47161</v>
      </c>
    </row>
    <row r="339" spans="1:1" x14ac:dyDescent="0.3">
      <c r="A339" s="1">
        <v>47162</v>
      </c>
    </row>
    <row r="340" spans="1:1" x14ac:dyDescent="0.3">
      <c r="A340" s="1">
        <v>47207</v>
      </c>
    </row>
    <row r="341" spans="1:1" x14ac:dyDescent="0.3">
      <c r="A341" s="1">
        <v>47229</v>
      </c>
    </row>
    <row r="342" spans="1:1" x14ac:dyDescent="0.3">
      <c r="A342" s="1">
        <v>47239</v>
      </c>
    </row>
    <row r="343" spans="1:1" x14ac:dyDescent="0.3">
      <c r="A343" s="1">
        <v>47269</v>
      </c>
    </row>
    <row r="344" spans="1:1" x14ac:dyDescent="0.3">
      <c r="A344" s="1">
        <v>47368</v>
      </c>
    </row>
    <row r="345" spans="1:1" x14ac:dyDescent="0.3">
      <c r="A345" s="1">
        <v>47403</v>
      </c>
    </row>
    <row r="346" spans="1:1" x14ac:dyDescent="0.3">
      <c r="A346" s="1">
        <v>47424</v>
      </c>
    </row>
    <row r="347" spans="1:1" x14ac:dyDescent="0.3">
      <c r="A347" s="1">
        <v>47437</v>
      </c>
    </row>
    <row r="348" spans="1:1" x14ac:dyDescent="0.3">
      <c r="A348" s="1">
        <v>47477</v>
      </c>
    </row>
    <row r="349" spans="1:1" x14ac:dyDescent="0.3">
      <c r="A349" s="1">
        <v>47484</v>
      </c>
    </row>
    <row r="350" spans="1:1" x14ac:dyDescent="0.3">
      <c r="A350" s="1">
        <v>47546</v>
      </c>
    </row>
    <row r="351" spans="1:1" x14ac:dyDescent="0.3">
      <c r="A351" s="1">
        <v>47547</v>
      </c>
    </row>
    <row r="352" spans="1:1" x14ac:dyDescent="0.3">
      <c r="A352" s="1">
        <v>47592</v>
      </c>
    </row>
    <row r="353" spans="1:1" x14ac:dyDescent="0.3">
      <c r="A353" s="1">
        <v>47594</v>
      </c>
    </row>
    <row r="354" spans="1:1" x14ac:dyDescent="0.3">
      <c r="A354" s="1">
        <v>47604</v>
      </c>
    </row>
    <row r="355" spans="1:1" x14ac:dyDescent="0.3">
      <c r="A355" s="1">
        <v>47654</v>
      </c>
    </row>
    <row r="356" spans="1:1" x14ac:dyDescent="0.3">
      <c r="A356" s="1">
        <v>47733</v>
      </c>
    </row>
    <row r="357" spans="1:1" x14ac:dyDescent="0.3">
      <c r="A357" s="1">
        <v>47768</v>
      </c>
    </row>
    <row r="358" spans="1:1" x14ac:dyDescent="0.3">
      <c r="A358" s="1">
        <v>47789</v>
      </c>
    </row>
    <row r="359" spans="1:1" x14ac:dyDescent="0.3">
      <c r="A359" s="1">
        <v>47802</v>
      </c>
    </row>
    <row r="360" spans="1:1" x14ac:dyDescent="0.3">
      <c r="A360" s="1">
        <v>47842</v>
      </c>
    </row>
    <row r="361" spans="1:1" x14ac:dyDescent="0.3">
      <c r="A361" s="1">
        <v>47849</v>
      </c>
    </row>
    <row r="362" spans="1:1" x14ac:dyDescent="0.3">
      <c r="A362" s="1">
        <v>47903</v>
      </c>
    </row>
    <row r="363" spans="1:1" x14ac:dyDescent="0.3">
      <c r="A363" s="1">
        <v>47904</v>
      </c>
    </row>
    <row r="364" spans="1:1" x14ac:dyDescent="0.3">
      <c r="A364" s="1">
        <v>47949</v>
      </c>
    </row>
    <row r="365" spans="1:1" x14ac:dyDescent="0.3">
      <c r="A365" s="1">
        <v>47959</v>
      </c>
    </row>
    <row r="366" spans="1:1" x14ac:dyDescent="0.3">
      <c r="A366" s="1">
        <v>47969</v>
      </c>
    </row>
    <row r="367" spans="1:1" x14ac:dyDescent="0.3">
      <c r="A367" s="1">
        <v>48011</v>
      </c>
    </row>
    <row r="368" spans="1:1" x14ac:dyDescent="0.3">
      <c r="A368" s="1">
        <v>48098</v>
      </c>
    </row>
    <row r="369" spans="1:1" x14ac:dyDescent="0.3">
      <c r="A369" s="1">
        <v>48133</v>
      </c>
    </row>
    <row r="370" spans="1:1" x14ac:dyDescent="0.3">
      <c r="A370" s="1">
        <v>48154</v>
      </c>
    </row>
    <row r="371" spans="1:1" x14ac:dyDescent="0.3">
      <c r="A371" s="1">
        <v>48167</v>
      </c>
    </row>
    <row r="372" spans="1:1" x14ac:dyDescent="0.3">
      <c r="A372" s="1">
        <v>48207</v>
      </c>
    </row>
    <row r="373" spans="1:1" x14ac:dyDescent="0.3">
      <c r="A373" s="1">
        <v>48214</v>
      </c>
    </row>
    <row r="374" spans="1:1" x14ac:dyDescent="0.3">
      <c r="A374" s="1">
        <v>48253</v>
      </c>
    </row>
    <row r="375" spans="1:1" x14ac:dyDescent="0.3">
      <c r="A375" s="1">
        <v>48254</v>
      </c>
    </row>
    <row r="376" spans="1:1" x14ac:dyDescent="0.3">
      <c r="A376" s="1">
        <v>48299</v>
      </c>
    </row>
    <row r="377" spans="1:1" x14ac:dyDescent="0.3">
      <c r="A377" s="1">
        <v>48325</v>
      </c>
    </row>
    <row r="378" spans="1:1" x14ac:dyDescent="0.3">
      <c r="A378" s="1">
        <v>48335</v>
      </c>
    </row>
    <row r="379" spans="1:1" x14ac:dyDescent="0.3">
      <c r="A379" s="1">
        <v>48361</v>
      </c>
    </row>
    <row r="380" spans="1:1" x14ac:dyDescent="0.3">
      <c r="A380" s="1">
        <v>48464</v>
      </c>
    </row>
    <row r="381" spans="1:1" x14ac:dyDescent="0.3">
      <c r="A381" s="1">
        <v>48499</v>
      </c>
    </row>
    <row r="382" spans="1:1" x14ac:dyDescent="0.3">
      <c r="A382" s="1">
        <v>48520</v>
      </c>
    </row>
    <row r="383" spans="1:1" x14ac:dyDescent="0.3">
      <c r="A383" s="1">
        <v>48533</v>
      </c>
    </row>
    <row r="384" spans="1:1" x14ac:dyDescent="0.3">
      <c r="A384" s="1">
        <v>48573</v>
      </c>
    </row>
    <row r="385" spans="1:1" x14ac:dyDescent="0.3">
      <c r="A385" s="1">
        <v>48580</v>
      </c>
    </row>
    <row r="386" spans="1:1" x14ac:dyDescent="0.3">
      <c r="A386" s="1">
        <v>48638</v>
      </c>
    </row>
    <row r="387" spans="1:1" x14ac:dyDescent="0.3">
      <c r="A387" s="1">
        <v>48639</v>
      </c>
    </row>
    <row r="388" spans="1:1" x14ac:dyDescent="0.3">
      <c r="A388" s="1">
        <v>48684</v>
      </c>
    </row>
    <row r="389" spans="1:1" x14ac:dyDescent="0.3">
      <c r="A389" s="1">
        <v>48690</v>
      </c>
    </row>
    <row r="390" spans="1:1" x14ac:dyDescent="0.3">
      <c r="A390" s="1">
        <v>48700</v>
      </c>
    </row>
    <row r="391" spans="1:1" x14ac:dyDescent="0.3">
      <c r="A391" s="1">
        <v>48746</v>
      </c>
    </row>
    <row r="392" spans="1:1" x14ac:dyDescent="0.3">
      <c r="A392" s="1">
        <v>48829</v>
      </c>
    </row>
    <row r="393" spans="1:1" x14ac:dyDescent="0.3">
      <c r="A393" s="1">
        <v>48864</v>
      </c>
    </row>
    <row r="394" spans="1:1" x14ac:dyDescent="0.3">
      <c r="A394" s="1">
        <v>48885</v>
      </c>
    </row>
    <row r="395" spans="1:1" x14ac:dyDescent="0.3">
      <c r="A395" s="1">
        <v>48898</v>
      </c>
    </row>
    <row r="396" spans="1:1" x14ac:dyDescent="0.3">
      <c r="A396" s="1">
        <v>48938</v>
      </c>
    </row>
    <row r="397" spans="1:1" x14ac:dyDescent="0.3">
      <c r="A397" s="1">
        <v>48945</v>
      </c>
    </row>
    <row r="398" spans="1:1" x14ac:dyDescent="0.3">
      <c r="A398" s="1">
        <v>48995</v>
      </c>
    </row>
    <row r="399" spans="1:1" x14ac:dyDescent="0.3">
      <c r="A399" s="1">
        <v>48996</v>
      </c>
    </row>
    <row r="400" spans="1:1" x14ac:dyDescent="0.3">
      <c r="A400" s="1">
        <v>49041</v>
      </c>
    </row>
    <row r="401" spans="1:1" x14ac:dyDescent="0.3">
      <c r="A401" s="1">
        <v>49055</v>
      </c>
    </row>
    <row r="402" spans="1:1" x14ac:dyDescent="0.3">
      <c r="A402" s="1">
        <v>49065</v>
      </c>
    </row>
    <row r="403" spans="1:1" x14ac:dyDescent="0.3">
      <c r="A403" s="1">
        <v>49103</v>
      </c>
    </row>
    <row r="404" spans="1:1" x14ac:dyDescent="0.3">
      <c r="A404" s="1">
        <v>49194</v>
      </c>
    </row>
    <row r="405" spans="1:1" x14ac:dyDescent="0.3">
      <c r="A405" s="1">
        <v>49229</v>
      </c>
    </row>
    <row r="406" spans="1:1" x14ac:dyDescent="0.3">
      <c r="A406" s="1">
        <v>49250</v>
      </c>
    </row>
    <row r="407" spans="1:1" x14ac:dyDescent="0.3">
      <c r="A407" s="1">
        <v>49263</v>
      </c>
    </row>
    <row r="408" spans="1:1" x14ac:dyDescent="0.3">
      <c r="A408" s="1">
        <v>49303</v>
      </c>
    </row>
    <row r="409" spans="1:1" x14ac:dyDescent="0.3">
      <c r="A409" s="1">
        <v>49310</v>
      </c>
    </row>
    <row r="410" spans="1:1" x14ac:dyDescent="0.3">
      <c r="A410" s="1">
        <v>49345</v>
      </c>
    </row>
    <row r="411" spans="1:1" x14ac:dyDescent="0.3">
      <c r="A411" s="1">
        <v>49346</v>
      </c>
    </row>
    <row r="412" spans="1:1" x14ac:dyDescent="0.3">
      <c r="A412" s="1">
        <v>49391</v>
      </c>
    </row>
    <row r="413" spans="1:1" x14ac:dyDescent="0.3">
      <c r="A413" s="1">
        <v>49420</v>
      </c>
    </row>
    <row r="414" spans="1:1" x14ac:dyDescent="0.3">
      <c r="A414" s="1">
        <v>49430</v>
      </c>
    </row>
    <row r="415" spans="1:1" x14ac:dyDescent="0.3">
      <c r="A415" s="1">
        <v>49453</v>
      </c>
    </row>
    <row r="416" spans="1:1" x14ac:dyDescent="0.3">
      <c r="A416" s="1">
        <v>49559</v>
      </c>
    </row>
    <row r="417" spans="1:1" x14ac:dyDescent="0.3">
      <c r="A417" s="1">
        <v>49594</v>
      </c>
    </row>
    <row r="418" spans="1:1" x14ac:dyDescent="0.3">
      <c r="A418" s="1">
        <v>49615</v>
      </c>
    </row>
    <row r="419" spans="1:1" x14ac:dyDescent="0.3">
      <c r="A419" s="1">
        <v>49628</v>
      </c>
    </row>
    <row r="420" spans="1:1" x14ac:dyDescent="0.3">
      <c r="A420" s="1">
        <v>49668</v>
      </c>
    </row>
    <row r="421" spans="1:1" x14ac:dyDescent="0.3">
      <c r="A421" s="1">
        <v>49675</v>
      </c>
    </row>
    <row r="422" spans="1:1" x14ac:dyDescent="0.3">
      <c r="A422" s="1">
        <v>49730</v>
      </c>
    </row>
    <row r="423" spans="1:1" x14ac:dyDescent="0.3">
      <c r="A423" s="1">
        <v>49731</v>
      </c>
    </row>
    <row r="424" spans="1:1" x14ac:dyDescent="0.3">
      <c r="A424" s="1">
        <v>49776</v>
      </c>
    </row>
    <row r="425" spans="1:1" x14ac:dyDescent="0.3">
      <c r="A425" s="1">
        <v>49786</v>
      </c>
    </row>
    <row r="426" spans="1:1" x14ac:dyDescent="0.3">
      <c r="A426" s="1">
        <v>49796</v>
      </c>
    </row>
    <row r="427" spans="1:1" x14ac:dyDescent="0.3">
      <c r="A427" s="1">
        <v>49838</v>
      </c>
    </row>
    <row r="428" spans="1:1" x14ac:dyDescent="0.3">
      <c r="A428" s="1">
        <v>49925</v>
      </c>
    </row>
    <row r="429" spans="1:1" x14ac:dyDescent="0.3">
      <c r="A429" s="1">
        <v>49960</v>
      </c>
    </row>
    <row r="430" spans="1:1" x14ac:dyDescent="0.3">
      <c r="A430" s="1">
        <v>49981</v>
      </c>
    </row>
    <row r="431" spans="1:1" x14ac:dyDescent="0.3">
      <c r="A431" s="1">
        <v>49994</v>
      </c>
    </row>
    <row r="432" spans="1:1" x14ac:dyDescent="0.3">
      <c r="A432" s="1">
        <v>50034</v>
      </c>
    </row>
    <row r="433" spans="1:1" x14ac:dyDescent="0.3">
      <c r="A433" s="1">
        <v>50041</v>
      </c>
    </row>
    <row r="434" spans="1:1" x14ac:dyDescent="0.3">
      <c r="A434" s="1">
        <v>50087</v>
      </c>
    </row>
    <row r="435" spans="1:1" x14ac:dyDescent="0.3">
      <c r="A435" s="1">
        <v>50088</v>
      </c>
    </row>
    <row r="436" spans="1:1" x14ac:dyDescent="0.3">
      <c r="A436" s="1">
        <v>50133</v>
      </c>
    </row>
    <row r="437" spans="1:1" x14ac:dyDescent="0.3">
      <c r="A437" s="1">
        <v>50151</v>
      </c>
    </row>
    <row r="438" spans="1:1" x14ac:dyDescent="0.3">
      <c r="A438" s="1">
        <v>50161</v>
      </c>
    </row>
    <row r="439" spans="1:1" x14ac:dyDescent="0.3">
      <c r="A439" s="1">
        <v>50195</v>
      </c>
    </row>
    <row r="440" spans="1:1" x14ac:dyDescent="0.3">
      <c r="A440" s="1">
        <v>50290</v>
      </c>
    </row>
    <row r="441" spans="1:1" x14ac:dyDescent="0.3">
      <c r="A441" s="1">
        <v>50325</v>
      </c>
    </row>
    <row r="442" spans="1:1" x14ac:dyDescent="0.3">
      <c r="A442" s="1">
        <v>50346</v>
      </c>
    </row>
    <row r="443" spans="1:1" x14ac:dyDescent="0.3">
      <c r="A443" s="1">
        <v>50359</v>
      </c>
    </row>
    <row r="444" spans="1:1" x14ac:dyDescent="0.3">
      <c r="A444" s="1">
        <v>50399</v>
      </c>
    </row>
    <row r="445" spans="1:1" x14ac:dyDescent="0.3">
      <c r="A445" s="1">
        <v>50406</v>
      </c>
    </row>
    <row r="446" spans="1:1" x14ac:dyDescent="0.3">
      <c r="A446" s="1">
        <v>50472</v>
      </c>
    </row>
    <row r="447" spans="1:1" x14ac:dyDescent="0.3">
      <c r="A447" s="1">
        <v>50473</v>
      </c>
    </row>
    <row r="448" spans="1:1" x14ac:dyDescent="0.3">
      <c r="A448" s="1">
        <v>50516</v>
      </c>
    </row>
    <row r="449" spans="1:1" x14ac:dyDescent="0.3">
      <c r="A449" s="1">
        <v>50518</v>
      </c>
    </row>
    <row r="450" spans="1:1" x14ac:dyDescent="0.3">
      <c r="A450" s="1">
        <v>50526</v>
      </c>
    </row>
    <row r="451" spans="1:1" x14ac:dyDescent="0.3">
      <c r="A451" s="1">
        <v>50580</v>
      </c>
    </row>
    <row r="452" spans="1:1" x14ac:dyDescent="0.3">
      <c r="A452" s="1">
        <v>50655</v>
      </c>
    </row>
    <row r="453" spans="1:1" x14ac:dyDescent="0.3">
      <c r="A453" s="1">
        <v>50690</v>
      </c>
    </row>
    <row r="454" spans="1:1" x14ac:dyDescent="0.3">
      <c r="A454" s="1">
        <v>50711</v>
      </c>
    </row>
    <row r="455" spans="1:1" x14ac:dyDescent="0.3">
      <c r="A455" s="1">
        <v>50724</v>
      </c>
    </row>
    <row r="456" spans="1:1" x14ac:dyDescent="0.3">
      <c r="A456" s="1">
        <v>50764</v>
      </c>
    </row>
    <row r="457" spans="1:1" x14ac:dyDescent="0.3">
      <c r="A457" s="1">
        <v>50771</v>
      </c>
    </row>
    <row r="458" spans="1:1" x14ac:dyDescent="0.3">
      <c r="A458" s="1">
        <v>50822</v>
      </c>
    </row>
    <row r="459" spans="1:1" x14ac:dyDescent="0.3">
      <c r="A459" s="1">
        <v>50823</v>
      </c>
    </row>
    <row r="460" spans="1:1" x14ac:dyDescent="0.3">
      <c r="A460" s="1">
        <v>50868</v>
      </c>
    </row>
    <row r="461" spans="1:1" x14ac:dyDescent="0.3">
      <c r="A461" s="1">
        <v>50881</v>
      </c>
    </row>
    <row r="462" spans="1:1" x14ac:dyDescent="0.3">
      <c r="A462" s="1">
        <v>50891</v>
      </c>
    </row>
    <row r="463" spans="1:1" x14ac:dyDescent="0.3">
      <c r="A463" s="1">
        <v>50930</v>
      </c>
    </row>
    <row r="464" spans="1:1" x14ac:dyDescent="0.3">
      <c r="A464" s="1">
        <v>51020</v>
      </c>
    </row>
    <row r="465" spans="1:1" x14ac:dyDescent="0.3">
      <c r="A465" s="1">
        <v>51055</v>
      </c>
    </row>
    <row r="466" spans="1:1" x14ac:dyDescent="0.3">
      <c r="A466" s="1">
        <v>51076</v>
      </c>
    </row>
    <row r="467" spans="1:1" x14ac:dyDescent="0.3">
      <c r="A467" s="1">
        <v>51089</v>
      </c>
    </row>
    <row r="468" spans="1:1" x14ac:dyDescent="0.3">
      <c r="A468" s="1">
        <v>51129</v>
      </c>
    </row>
    <row r="469" spans="1:1" x14ac:dyDescent="0.3">
      <c r="A469" s="1">
        <v>51136</v>
      </c>
    </row>
    <row r="470" spans="1:1" x14ac:dyDescent="0.3">
      <c r="A470" s="1">
        <v>51179</v>
      </c>
    </row>
    <row r="471" spans="1:1" x14ac:dyDescent="0.3">
      <c r="A471" s="1">
        <v>51180</v>
      </c>
    </row>
    <row r="472" spans="1:1" x14ac:dyDescent="0.3">
      <c r="A472" s="1">
        <v>51225</v>
      </c>
    </row>
    <row r="473" spans="1:1" x14ac:dyDescent="0.3">
      <c r="A473" s="1">
        <v>51247</v>
      </c>
    </row>
    <row r="474" spans="1:1" x14ac:dyDescent="0.3">
      <c r="A474" s="1">
        <v>51257</v>
      </c>
    </row>
    <row r="475" spans="1:1" x14ac:dyDescent="0.3">
      <c r="A475" s="1">
        <v>51287</v>
      </c>
    </row>
    <row r="476" spans="1:1" x14ac:dyDescent="0.3">
      <c r="A476" s="1">
        <v>51386</v>
      </c>
    </row>
    <row r="477" spans="1:1" x14ac:dyDescent="0.3">
      <c r="A477" s="1">
        <v>51421</v>
      </c>
    </row>
    <row r="478" spans="1:1" x14ac:dyDescent="0.3">
      <c r="A478" s="1">
        <v>51442</v>
      </c>
    </row>
    <row r="479" spans="1:1" x14ac:dyDescent="0.3">
      <c r="A479" s="1">
        <v>51455</v>
      </c>
    </row>
    <row r="480" spans="1:1" x14ac:dyDescent="0.3">
      <c r="A480" s="1">
        <v>51495</v>
      </c>
    </row>
    <row r="481" spans="1:1" x14ac:dyDescent="0.3">
      <c r="A481" s="1">
        <v>51502</v>
      </c>
    </row>
    <row r="482" spans="1:1" x14ac:dyDescent="0.3">
      <c r="A482" s="1">
        <v>51564</v>
      </c>
    </row>
    <row r="483" spans="1:1" x14ac:dyDescent="0.3">
      <c r="A483" s="1">
        <v>51565</v>
      </c>
    </row>
    <row r="484" spans="1:1" x14ac:dyDescent="0.3">
      <c r="A484" s="1">
        <v>51610</v>
      </c>
    </row>
    <row r="485" spans="1:1" x14ac:dyDescent="0.3">
      <c r="A485" s="1">
        <v>51612</v>
      </c>
    </row>
    <row r="486" spans="1:1" x14ac:dyDescent="0.3">
      <c r="A486" s="1">
        <v>51622</v>
      </c>
    </row>
    <row r="487" spans="1:1" x14ac:dyDescent="0.3">
      <c r="A487" s="1">
        <v>51672</v>
      </c>
    </row>
    <row r="488" spans="1:1" x14ac:dyDescent="0.3">
      <c r="A488" s="1">
        <v>51751</v>
      </c>
    </row>
    <row r="489" spans="1:1" x14ac:dyDescent="0.3">
      <c r="A489" s="1">
        <v>51786</v>
      </c>
    </row>
    <row r="490" spans="1:1" x14ac:dyDescent="0.3">
      <c r="A490" s="1">
        <v>51807</v>
      </c>
    </row>
    <row r="491" spans="1:1" x14ac:dyDescent="0.3">
      <c r="A491" s="1">
        <v>51820</v>
      </c>
    </row>
    <row r="492" spans="1:1" x14ac:dyDescent="0.3">
      <c r="A492" s="1">
        <v>51860</v>
      </c>
    </row>
    <row r="493" spans="1:1" x14ac:dyDescent="0.3">
      <c r="A493" s="1">
        <v>51867</v>
      </c>
    </row>
    <row r="494" spans="1:1" x14ac:dyDescent="0.3">
      <c r="A494" s="1">
        <v>51914</v>
      </c>
    </row>
    <row r="495" spans="1:1" x14ac:dyDescent="0.3">
      <c r="A495" s="1">
        <v>51915</v>
      </c>
    </row>
    <row r="496" spans="1:1" x14ac:dyDescent="0.3">
      <c r="A496" s="1">
        <v>51960</v>
      </c>
    </row>
    <row r="497" spans="1:1" x14ac:dyDescent="0.3">
      <c r="A497" s="1">
        <v>51977</v>
      </c>
    </row>
    <row r="498" spans="1:1" x14ac:dyDescent="0.3">
      <c r="A498" s="1">
        <v>51987</v>
      </c>
    </row>
    <row r="499" spans="1:1" x14ac:dyDescent="0.3">
      <c r="A499" s="1">
        <v>52022</v>
      </c>
    </row>
    <row r="500" spans="1:1" x14ac:dyDescent="0.3">
      <c r="A500" s="1">
        <v>52116</v>
      </c>
    </row>
    <row r="501" spans="1:1" x14ac:dyDescent="0.3">
      <c r="A501" s="1">
        <v>52151</v>
      </c>
    </row>
    <row r="502" spans="1:1" x14ac:dyDescent="0.3">
      <c r="A502" s="1">
        <v>52172</v>
      </c>
    </row>
    <row r="503" spans="1:1" x14ac:dyDescent="0.3">
      <c r="A503" s="1">
        <v>52185</v>
      </c>
    </row>
    <row r="504" spans="1:1" x14ac:dyDescent="0.3">
      <c r="A504" s="1">
        <v>52225</v>
      </c>
    </row>
    <row r="505" spans="1:1" x14ac:dyDescent="0.3">
      <c r="A505" s="1">
        <v>52232</v>
      </c>
    </row>
    <row r="506" spans="1:1" x14ac:dyDescent="0.3">
      <c r="A506" s="1">
        <v>52271</v>
      </c>
    </row>
    <row r="507" spans="1:1" x14ac:dyDescent="0.3">
      <c r="A507" s="1">
        <v>52272</v>
      </c>
    </row>
    <row r="508" spans="1:1" x14ac:dyDescent="0.3">
      <c r="A508" s="1">
        <v>52317</v>
      </c>
    </row>
    <row r="509" spans="1:1" x14ac:dyDescent="0.3">
      <c r="A509" s="1">
        <v>52342</v>
      </c>
    </row>
    <row r="510" spans="1:1" x14ac:dyDescent="0.3">
      <c r="A510" s="1">
        <v>52352</v>
      </c>
    </row>
    <row r="511" spans="1:1" x14ac:dyDescent="0.3">
      <c r="A511" s="1">
        <v>52379</v>
      </c>
    </row>
    <row r="512" spans="1:1" x14ac:dyDescent="0.3">
      <c r="A512" s="1">
        <v>52481</v>
      </c>
    </row>
    <row r="513" spans="1:1" x14ac:dyDescent="0.3">
      <c r="A513" s="1">
        <v>52516</v>
      </c>
    </row>
    <row r="514" spans="1:1" x14ac:dyDescent="0.3">
      <c r="A514" s="1">
        <v>52537</v>
      </c>
    </row>
    <row r="515" spans="1:1" x14ac:dyDescent="0.3">
      <c r="A515" s="1">
        <v>52550</v>
      </c>
    </row>
    <row r="516" spans="1:1" x14ac:dyDescent="0.3">
      <c r="A516" s="1">
        <v>52590</v>
      </c>
    </row>
    <row r="517" spans="1:1" x14ac:dyDescent="0.3">
      <c r="A517" s="1">
        <v>52597</v>
      </c>
    </row>
    <row r="518" spans="1:1" x14ac:dyDescent="0.3">
      <c r="A518" s="1">
        <v>52656</v>
      </c>
    </row>
    <row r="519" spans="1:1" x14ac:dyDescent="0.3">
      <c r="A519" s="1">
        <v>52657</v>
      </c>
    </row>
    <row r="520" spans="1:1" x14ac:dyDescent="0.3">
      <c r="A520" s="1">
        <v>52702</v>
      </c>
    </row>
    <row r="521" spans="1:1" x14ac:dyDescent="0.3">
      <c r="A521" s="1">
        <v>52708</v>
      </c>
    </row>
    <row r="522" spans="1:1" x14ac:dyDescent="0.3">
      <c r="A522" s="1">
        <v>52718</v>
      </c>
    </row>
    <row r="523" spans="1:1" x14ac:dyDescent="0.3">
      <c r="A523" s="1">
        <v>52764</v>
      </c>
    </row>
    <row r="524" spans="1:1" x14ac:dyDescent="0.3">
      <c r="A524" s="1">
        <v>52847</v>
      </c>
    </row>
    <row r="525" spans="1:1" x14ac:dyDescent="0.3">
      <c r="A525" s="1">
        <v>52882</v>
      </c>
    </row>
    <row r="526" spans="1:1" x14ac:dyDescent="0.3">
      <c r="A526" s="1">
        <v>52903</v>
      </c>
    </row>
    <row r="527" spans="1:1" x14ac:dyDescent="0.3">
      <c r="A527" s="1">
        <v>52916</v>
      </c>
    </row>
    <row r="528" spans="1:1" x14ac:dyDescent="0.3">
      <c r="A528" s="1">
        <v>52956</v>
      </c>
    </row>
    <row r="529" spans="1:1" x14ac:dyDescent="0.3">
      <c r="A529" s="1">
        <v>52963</v>
      </c>
    </row>
    <row r="530" spans="1:1" x14ac:dyDescent="0.3">
      <c r="A530" s="1">
        <v>53013</v>
      </c>
    </row>
    <row r="531" spans="1:1" x14ac:dyDescent="0.3">
      <c r="A531" s="1">
        <v>53014</v>
      </c>
    </row>
    <row r="532" spans="1:1" x14ac:dyDescent="0.3">
      <c r="A532" s="1">
        <v>53059</v>
      </c>
    </row>
    <row r="533" spans="1:1" x14ac:dyDescent="0.3">
      <c r="A533" s="1">
        <v>53073</v>
      </c>
    </row>
    <row r="534" spans="1:1" x14ac:dyDescent="0.3">
      <c r="A534" s="1">
        <v>53083</v>
      </c>
    </row>
    <row r="535" spans="1:1" x14ac:dyDescent="0.3">
      <c r="A535" s="1">
        <v>53121</v>
      </c>
    </row>
    <row r="536" spans="1:1" x14ac:dyDescent="0.3">
      <c r="A536" s="1">
        <v>53212</v>
      </c>
    </row>
    <row r="537" spans="1:1" x14ac:dyDescent="0.3">
      <c r="A537" s="1">
        <v>53247</v>
      </c>
    </row>
    <row r="538" spans="1:1" x14ac:dyDescent="0.3">
      <c r="A538" s="1">
        <v>53268</v>
      </c>
    </row>
    <row r="539" spans="1:1" x14ac:dyDescent="0.3">
      <c r="A539" s="1">
        <v>53281</v>
      </c>
    </row>
    <row r="540" spans="1:1" x14ac:dyDescent="0.3">
      <c r="A540" s="1">
        <v>53321</v>
      </c>
    </row>
    <row r="541" spans="1:1" x14ac:dyDescent="0.3">
      <c r="A541" s="1">
        <v>53328</v>
      </c>
    </row>
    <row r="542" spans="1:1" x14ac:dyDescent="0.3">
      <c r="A542" s="1">
        <v>53363</v>
      </c>
    </row>
    <row r="543" spans="1:1" x14ac:dyDescent="0.3">
      <c r="A543" s="1">
        <v>53364</v>
      </c>
    </row>
    <row r="544" spans="1:1" x14ac:dyDescent="0.3">
      <c r="A544" s="1">
        <v>53409</v>
      </c>
    </row>
    <row r="545" spans="1:1" x14ac:dyDescent="0.3">
      <c r="A545" s="1">
        <v>53438</v>
      </c>
    </row>
    <row r="546" spans="1:1" x14ac:dyDescent="0.3">
      <c r="A546" s="1">
        <v>53448</v>
      </c>
    </row>
    <row r="547" spans="1:1" x14ac:dyDescent="0.3">
      <c r="A547" s="1">
        <v>53471</v>
      </c>
    </row>
    <row r="548" spans="1:1" x14ac:dyDescent="0.3">
      <c r="A548" s="1">
        <v>53577</v>
      </c>
    </row>
    <row r="549" spans="1:1" x14ac:dyDescent="0.3">
      <c r="A549" s="1">
        <v>53612</v>
      </c>
    </row>
    <row r="550" spans="1:1" x14ac:dyDescent="0.3">
      <c r="A550" s="1">
        <v>53633</v>
      </c>
    </row>
    <row r="551" spans="1:1" x14ac:dyDescent="0.3">
      <c r="A551" s="1">
        <v>53646</v>
      </c>
    </row>
    <row r="552" spans="1:1" x14ac:dyDescent="0.3">
      <c r="A552" s="1">
        <v>53686</v>
      </c>
    </row>
    <row r="553" spans="1:1" x14ac:dyDescent="0.3">
      <c r="A553" s="1">
        <v>53693</v>
      </c>
    </row>
    <row r="554" spans="1:1" x14ac:dyDescent="0.3">
      <c r="A554" s="1">
        <v>53748</v>
      </c>
    </row>
    <row r="555" spans="1:1" x14ac:dyDescent="0.3">
      <c r="A555" s="1">
        <v>53749</v>
      </c>
    </row>
    <row r="556" spans="1:1" x14ac:dyDescent="0.3">
      <c r="A556" s="1">
        <v>53794</v>
      </c>
    </row>
    <row r="557" spans="1:1" x14ac:dyDescent="0.3">
      <c r="A557" s="1">
        <v>53803</v>
      </c>
    </row>
    <row r="558" spans="1:1" x14ac:dyDescent="0.3">
      <c r="A558" s="1">
        <v>53813</v>
      </c>
    </row>
    <row r="559" spans="1:1" x14ac:dyDescent="0.3">
      <c r="A559" s="1">
        <v>53856</v>
      </c>
    </row>
    <row r="560" spans="1:1" x14ac:dyDescent="0.3">
      <c r="A560" s="1">
        <v>53942</v>
      </c>
    </row>
    <row r="561" spans="1:1" x14ac:dyDescent="0.3">
      <c r="A561" s="1">
        <v>53977</v>
      </c>
    </row>
    <row r="562" spans="1:1" x14ac:dyDescent="0.3">
      <c r="A562" s="1">
        <v>53998</v>
      </c>
    </row>
    <row r="563" spans="1:1" x14ac:dyDescent="0.3">
      <c r="A563" s="1">
        <v>54011</v>
      </c>
    </row>
    <row r="564" spans="1:1" x14ac:dyDescent="0.3">
      <c r="A564" s="1">
        <v>54051</v>
      </c>
    </row>
    <row r="565" spans="1:1" x14ac:dyDescent="0.3">
      <c r="A565" s="1">
        <v>54058</v>
      </c>
    </row>
    <row r="566" spans="1:1" x14ac:dyDescent="0.3">
      <c r="A566" s="1">
        <v>54105</v>
      </c>
    </row>
    <row r="567" spans="1:1" x14ac:dyDescent="0.3">
      <c r="A567" s="1">
        <v>54106</v>
      </c>
    </row>
    <row r="568" spans="1:1" x14ac:dyDescent="0.3">
      <c r="A568" s="1">
        <v>54151</v>
      </c>
    </row>
    <row r="569" spans="1:1" x14ac:dyDescent="0.3">
      <c r="A569" s="1">
        <v>54169</v>
      </c>
    </row>
    <row r="570" spans="1:1" x14ac:dyDescent="0.3">
      <c r="A570" s="1">
        <v>54179</v>
      </c>
    </row>
    <row r="571" spans="1:1" x14ac:dyDescent="0.3">
      <c r="A571" s="1">
        <v>54213</v>
      </c>
    </row>
    <row r="572" spans="1:1" x14ac:dyDescent="0.3">
      <c r="A572" s="1">
        <v>54308</v>
      </c>
    </row>
    <row r="573" spans="1:1" x14ac:dyDescent="0.3">
      <c r="A573" s="1">
        <v>54343</v>
      </c>
    </row>
    <row r="574" spans="1:1" x14ac:dyDescent="0.3">
      <c r="A574" s="1">
        <v>54364</v>
      </c>
    </row>
    <row r="575" spans="1:1" x14ac:dyDescent="0.3">
      <c r="A575" s="1">
        <v>54377</v>
      </c>
    </row>
    <row r="576" spans="1:1" x14ac:dyDescent="0.3">
      <c r="A576" s="1">
        <v>54417</v>
      </c>
    </row>
    <row r="577" spans="1:1" x14ac:dyDescent="0.3">
      <c r="A577" s="1">
        <v>54424</v>
      </c>
    </row>
    <row r="578" spans="1:1" x14ac:dyDescent="0.3">
      <c r="A578" s="1">
        <v>54483</v>
      </c>
    </row>
    <row r="579" spans="1:1" x14ac:dyDescent="0.3">
      <c r="A579" s="1">
        <v>54484</v>
      </c>
    </row>
    <row r="580" spans="1:1" x14ac:dyDescent="0.3">
      <c r="A580" s="1">
        <v>54529</v>
      </c>
    </row>
    <row r="581" spans="1:1" x14ac:dyDescent="0.3">
      <c r="A581" s="1">
        <v>54534</v>
      </c>
    </row>
    <row r="582" spans="1:1" x14ac:dyDescent="0.3">
      <c r="A582" s="1">
        <v>54544</v>
      </c>
    </row>
    <row r="583" spans="1:1" x14ac:dyDescent="0.3">
      <c r="A583" s="1">
        <v>54591</v>
      </c>
    </row>
    <row r="584" spans="1:1" x14ac:dyDescent="0.3">
      <c r="A584" s="1">
        <v>54673</v>
      </c>
    </row>
    <row r="585" spans="1:1" x14ac:dyDescent="0.3">
      <c r="A585" s="1">
        <v>54708</v>
      </c>
    </row>
    <row r="586" spans="1:1" x14ac:dyDescent="0.3">
      <c r="A586" s="1">
        <v>54729</v>
      </c>
    </row>
    <row r="587" spans="1:1" x14ac:dyDescent="0.3">
      <c r="A587" s="1">
        <v>54742</v>
      </c>
    </row>
    <row r="588" spans="1:1" x14ac:dyDescent="0.3">
      <c r="A588" s="1">
        <v>54782</v>
      </c>
    </row>
    <row r="589" spans="1:1" x14ac:dyDescent="0.3">
      <c r="A589" s="1">
        <v>54789</v>
      </c>
    </row>
    <row r="590" spans="1:1" x14ac:dyDescent="0.3">
      <c r="A590" s="1">
        <v>54840</v>
      </c>
    </row>
    <row r="591" spans="1:1" x14ac:dyDescent="0.3">
      <c r="A591" s="1">
        <v>54841</v>
      </c>
    </row>
    <row r="592" spans="1:1" x14ac:dyDescent="0.3">
      <c r="A592" s="1">
        <v>54886</v>
      </c>
    </row>
    <row r="593" spans="1:1" x14ac:dyDescent="0.3">
      <c r="A593" s="1">
        <v>54899</v>
      </c>
    </row>
    <row r="594" spans="1:1" x14ac:dyDescent="0.3">
      <c r="A594" s="1">
        <v>54909</v>
      </c>
    </row>
    <row r="595" spans="1:1" x14ac:dyDescent="0.3">
      <c r="A595" s="1">
        <v>54948</v>
      </c>
    </row>
    <row r="596" spans="1:1" x14ac:dyDescent="0.3">
      <c r="A596" s="1">
        <v>55038</v>
      </c>
    </row>
    <row r="597" spans="1:1" x14ac:dyDescent="0.3">
      <c r="A597" s="1">
        <v>55073</v>
      </c>
    </row>
    <row r="598" spans="1:1" x14ac:dyDescent="0.3">
      <c r="A598" s="1">
        <v>55094</v>
      </c>
    </row>
    <row r="599" spans="1:1" x14ac:dyDescent="0.3">
      <c r="A599" s="1">
        <v>55107</v>
      </c>
    </row>
    <row r="600" spans="1:1" x14ac:dyDescent="0.3">
      <c r="A600" s="1">
        <v>55147</v>
      </c>
    </row>
    <row r="601" spans="1:1" x14ac:dyDescent="0.3">
      <c r="A601" s="1">
        <v>55154</v>
      </c>
    </row>
    <row r="602" spans="1:1" x14ac:dyDescent="0.3">
      <c r="A602" s="1">
        <v>55197</v>
      </c>
    </row>
    <row r="603" spans="1:1" x14ac:dyDescent="0.3">
      <c r="A603" s="1">
        <v>55198</v>
      </c>
    </row>
    <row r="604" spans="1:1" x14ac:dyDescent="0.3">
      <c r="A604" s="1">
        <v>55243</v>
      </c>
    </row>
    <row r="605" spans="1:1" x14ac:dyDescent="0.3">
      <c r="A605" s="1">
        <v>55264</v>
      </c>
    </row>
    <row r="606" spans="1:1" x14ac:dyDescent="0.3">
      <c r="A606" s="1">
        <v>55274</v>
      </c>
    </row>
    <row r="607" spans="1:1" x14ac:dyDescent="0.3">
      <c r="A607" s="1">
        <v>55305</v>
      </c>
    </row>
    <row r="608" spans="1:1" x14ac:dyDescent="0.3">
      <c r="A608" s="1">
        <v>55403</v>
      </c>
    </row>
    <row r="609" spans="1:1" x14ac:dyDescent="0.3">
      <c r="A609" s="1">
        <v>55438</v>
      </c>
    </row>
    <row r="610" spans="1:1" x14ac:dyDescent="0.3">
      <c r="A610" s="1">
        <v>55459</v>
      </c>
    </row>
    <row r="611" spans="1:1" x14ac:dyDescent="0.3">
      <c r="A611" s="1">
        <v>55472</v>
      </c>
    </row>
    <row r="612" spans="1:1" x14ac:dyDescent="0.3">
      <c r="A612" s="1">
        <v>55512</v>
      </c>
    </row>
    <row r="613" spans="1:1" x14ac:dyDescent="0.3">
      <c r="A613" s="1">
        <v>55519</v>
      </c>
    </row>
    <row r="614" spans="1:1" x14ac:dyDescent="0.3">
      <c r="A614" s="1">
        <v>55582</v>
      </c>
    </row>
    <row r="615" spans="1:1" x14ac:dyDescent="0.3">
      <c r="A615" s="1">
        <v>55583</v>
      </c>
    </row>
    <row r="616" spans="1:1" x14ac:dyDescent="0.3">
      <c r="A616" s="1">
        <v>55628</v>
      </c>
    </row>
    <row r="617" spans="1:1" x14ac:dyDescent="0.3">
      <c r="A617" s="1">
        <v>55630</v>
      </c>
    </row>
    <row r="618" spans="1:1" x14ac:dyDescent="0.3">
      <c r="A618" s="1">
        <v>55640</v>
      </c>
    </row>
    <row r="619" spans="1:1" x14ac:dyDescent="0.3">
      <c r="A619" s="1">
        <v>55690</v>
      </c>
    </row>
    <row r="620" spans="1:1" x14ac:dyDescent="0.3">
      <c r="A620" s="1">
        <v>55769</v>
      </c>
    </row>
    <row r="621" spans="1:1" x14ac:dyDescent="0.3">
      <c r="A621" s="1">
        <v>55804</v>
      </c>
    </row>
    <row r="622" spans="1:1" x14ac:dyDescent="0.3">
      <c r="A622" s="1">
        <v>55825</v>
      </c>
    </row>
    <row r="623" spans="1:1" x14ac:dyDescent="0.3">
      <c r="A623" s="1">
        <v>55838</v>
      </c>
    </row>
    <row r="624" spans="1:1" x14ac:dyDescent="0.3">
      <c r="A624" s="1">
        <v>55878</v>
      </c>
    </row>
    <row r="625" spans="1:1" x14ac:dyDescent="0.3">
      <c r="A625" s="1">
        <v>55885</v>
      </c>
    </row>
    <row r="626" spans="1:1" x14ac:dyDescent="0.3">
      <c r="A626" s="1">
        <v>55932</v>
      </c>
    </row>
    <row r="627" spans="1:1" x14ac:dyDescent="0.3">
      <c r="A627" s="1">
        <v>55933</v>
      </c>
    </row>
    <row r="628" spans="1:1" x14ac:dyDescent="0.3">
      <c r="A628" s="1">
        <v>55978</v>
      </c>
    </row>
    <row r="629" spans="1:1" x14ac:dyDescent="0.3">
      <c r="A629" s="1">
        <v>55995</v>
      </c>
    </row>
    <row r="630" spans="1:1" x14ac:dyDescent="0.3">
      <c r="A630" s="1">
        <v>56005</v>
      </c>
    </row>
    <row r="631" spans="1:1" x14ac:dyDescent="0.3">
      <c r="A631" s="1">
        <v>56040</v>
      </c>
    </row>
    <row r="632" spans="1:1" x14ac:dyDescent="0.3">
      <c r="A632" s="1">
        <v>56134</v>
      </c>
    </row>
    <row r="633" spans="1:1" x14ac:dyDescent="0.3">
      <c r="A633" s="1">
        <v>56169</v>
      </c>
    </row>
    <row r="634" spans="1:1" x14ac:dyDescent="0.3">
      <c r="A634" s="1">
        <v>56190</v>
      </c>
    </row>
    <row r="635" spans="1:1" x14ac:dyDescent="0.3">
      <c r="A635" s="1">
        <v>56203</v>
      </c>
    </row>
    <row r="636" spans="1:1" x14ac:dyDescent="0.3">
      <c r="A636" s="1">
        <v>56243</v>
      </c>
    </row>
    <row r="637" spans="1:1" x14ac:dyDescent="0.3">
      <c r="A637" s="1">
        <v>56250</v>
      </c>
    </row>
    <row r="638" spans="1:1" x14ac:dyDescent="0.3">
      <c r="A638" s="1">
        <v>56289</v>
      </c>
    </row>
    <row r="639" spans="1:1" x14ac:dyDescent="0.3">
      <c r="A639" s="1">
        <v>56290</v>
      </c>
    </row>
    <row r="640" spans="1:1" x14ac:dyDescent="0.3">
      <c r="A640" s="1">
        <v>56335</v>
      </c>
    </row>
    <row r="641" spans="1:1" x14ac:dyDescent="0.3">
      <c r="A641" s="1">
        <v>56360</v>
      </c>
    </row>
    <row r="642" spans="1:1" x14ac:dyDescent="0.3">
      <c r="A642" s="1">
        <v>56370</v>
      </c>
    </row>
    <row r="643" spans="1:1" x14ac:dyDescent="0.3">
      <c r="A643" s="1">
        <v>56397</v>
      </c>
    </row>
    <row r="644" spans="1:1" x14ac:dyDescent="0.3">
      <c r="A644" s="1">
        <v>56499</v>
      </c>
    </row>
    <row r="645" spans="1:1" x14ac:dyDescent="0.3">
      <c r="A645" s="1">
        <v>56534</v>
      </c>
    </row>
    <row r="646" spans="1:1" x14ac:dyDescent="0.3">
      <c r="A646" s="1">
        <v>56555</v>
      </c>
    </row>
    <row r="647" spans="1:1" x14ac:dyDescent="0.3">
      <c r="A647" s="1">
        <v>56568</v>
      </c>
    </row>
    <row r="648" spans="1:1" x14ac:dyDescent="0.3">
      <c r="A648" s="1">
        <v>56608</v>
      </c>
    </row>
    <row r="649" spans="1:1" x14ac:dyDescent="0.3">
      <c r="A649" s="1">
        <v>56615</v>
      </c>
    </row>
    <row r="650" spans="1:1" x14ac:dyDescent="0.3">
      <c r="A650" s="1">
        <v>56674</v>
      </c>
    </row>
    <row r="651" spans="1:1" x14ac:dyDescent="0.3">
      <c r="A651" s="1">
        <v>56675</v>
      </c>
    </row>
    <row r="652" spans="1:1" x14ac:dyDescent="0.3">
      <c r="A652" s="1">
        <v>56720</v>
      </c>
    </row>
    <row r="653" spans="1:1" x14ac:dyDescent="0.3">
      <c r="A653" s="1">
        <v>56725</v>
      </c>
    </row>
    <row r="654" spans="1:1" x14ac:dyDescent="0.3">
      <c r="A654" s="1">
        <v>56735</v>
      </c>
    </row>
    <row r="655" spans="1:1" x14ac:dyDescent="0.3">
      <c r="A655" s="1">
        <v>56782</v>
      </c>
    </row>
    <row r="656" spans="1:1" x14ac:dyDescent="0.3">
      <c r="A656" s="1">
        <v>56864</v>
      </c>
    </row>
    <row r="657" spans="1:1" x14ac:dyDescent="0.3">
      <c r="A657" s="1">
        <v>56899</v>
      </c>
    </row>
    <row r="658" spans="1:1" x14ac:dyDescent="0.3">
      <c r="A658" s="1">
        <v>56920</v>
      </c>
    </row>
    <row r="659" spans="1:1" x14ac:dyDescent="0.3">
      <c r="A659" s="1">
        <v>56933</v>
      </c>
    </row>
    <row r="660" spans="1:1" x14ac:dyDescent="0.3">
      <c r="A660" s="1">
        <v>56973</v>
      </c>
    </row>
    <row r="661" spans="1:1" x14ac:dyDescent="0.3">
      <c r="A661" s="1">
        <v>56980</v>
      </c>
    </row>
    <row r="662" spans="1:1" x14ac:dyDescent="0.3">
      <c r="A662" s="1">
        <v>57024</v>
      </c>
    </row>
    <row r="663" spans="1:1" x14ac:dyDescent="0.3">
      <c r="A663" s="1">
        <v>57025</v>
      </c>
    </row>
    <row r="664" spans="1:1" x14ac:dyDescent="0.3">
      <c r="A664" s="1">
        <v>57070</v>
      </c>
    </row>
    <row r="665" spans="1:1" x14ac:dyDescent="0.3">
      <c r="A665" s="1">
        <v>57091</v>
      </c>
    </row>
    <row r="666" spans="1:1" x14ac:dyDescent="0.3">
      <c r="A666" s="1">
        <v>57101</v>
      </c>
    </row>
    <row r="667" spans="1:1" x14ac:dyDescent="0.3">
      <c r="A667" s="1">
        <v>57132</v>
      </c>
    </row>
    <row r="668" spans="1:1" x14ac:dyDescent="0.3">
      <c r="A668" s="1">
        <v>57230</v>
      </c>
    </row>
    <row r="669" spans="1:1" x14ac:dyDescent="0.3">
      <c r="A669" s="1">
        <v>57265</v>
      </c>
    </row>
    <row r="670" spans="1:1" x14ac:dyDescent="0.3">
      <c r="A670" s="1">
        <v>57286</v>
      </c>
    </row>
    <row r="671" spans="1:1" x14ac:dyDescent="0.3">
      <c r="A671" s="1">
        <v>57299</v>
      </c>
    </row>
    <row r="672" spans="1:1" x14ac:dyDescent="0.3">
      <c r="A672" s="1">
        <v>57339</v>
      </c>
    </row>
    <row r="673" spans="1:1" x14ac:dyDescent="0.3">
      <c r="A673" s="1">
        <v>57346</v>
      </c>
    </row>
    <row r="674" spans="1:1" x14ac:dyDescent="0.3">
      <c r="A674" s="1">
        <v>57409</v>
      </c>
    </row>
    <row r="675" spans="1:1" x14ac:dyDescent="0.3">
      <c r="A675" s="1">
        <v>57410</v>
      </c>
    </row>
    <row r="676" spans="1:1" x14ac:dyDescent="0.3">
      <c r="A676" s="1">
        <v>57455</v>
      </c>
    </row>
    <row r="677" spans="1:1" x14ac:dyDescent="0.3">
      <c r="A677" s="1">
        <v>57456</v>
      </c>
    </row>
    <row r="678" spans="1:1" x14ac:dyDescent="0.3">
      <c r="A678" s="1">
        <v>57466</v>
      </c>
    </row>
    <row r="679" spans="1:1" x14ac:dyDescent="0.3">
      <c r="A679" s="1">
        <v>57517</v>
      </c>
    </row>
    <row r="680" spans="1:1" x14ac:dyDescent="0.3">
      <c r="A680" s="1">
        <v>57595</v>
      </c>
    </row>
    <row r="681" spans="1:1" x14ac:dyDescent="0.3">
      <c r="A681" s="1">
        <v>57630</v>
      </c>
    </row>
    <row r="682" spans="1:1" x14ac:dyDescent="0.3">
      <c r="A682" s="1">
        <v>57651</v>
      </c>
    </row>
    <row r="683" spans="1:1" x14ac:dyDescent="0.3">
      <c r="A683" s="1">
        <v>57664</v>
      </c>
    </row>
    <row r="684" spans="1:1" x14ac:dyDescent="0.3">
      <c r="A684" s="1">
        <v>57704</v>
      </c>
    </row>
    <row r="685" spans="1:1" x14ac:dyDescent="0.3">
      <c r="A685" s="1">
        <v>57711</v>
      </c>
    </row>
    <row r="686" spans="1:1" x14ac:dyDescent="0.3">
      <c r="A686" s="1">
        <v>57766</v>
      </c>
    </row>
    <row r="687" spans="1:1" x14ac:dyDescent="0.3">
      <c r="A687" s="1">
        <v>57767</v>
      </c>
    </row>
    <row r="688" spans="1:1" x14ac:dyDescent="0.3">
      <c r="A688" s="1">
        <v>57812</v>
      </c>
    </row>
    <row r="689" spans="1:1" x14ac:dyDescent="0.3">
      <c r="A689" s="1">
        <v>57821</v>
      </c>
    </row>
    <row r="690" spans="1:1" x14ac:dyDescent="0.3">
      <c r="A690" s="1">
        <v>57831</v>
      </c>
    </row>
    <row r="691" spans="1:1" x14ac:dyDescent="0.3">
      <c r="A691" s="1">
        <v>57874</v>
      </c>
    </row>
    <row r="692" spans="1:1" x14ac:dyDescent="0.3">
      <c r="A692" s="1">
        <v>57960</v>
      </c>
    </row>
    <row r="693" spans="1:1" x14ac:dyDescent="0.3">
      <c r="A693" s="1">
        <v>57995</v>
      </c>
    </row>
    <row r="694" spans="1:1" x14ac:dyDescent="0.3">
      <c r="A694" s="1">
        <v>58016</v>
      </c>
    </row>
    <row r="695" spans="1:1" x14ac:dyDescent="0.3">
      <c r="A695" s="1">
        <v>58029</v>
      </c>
    </row>
    <row r="696" spans="1:1" x14ac:dyDescent="0.3">
      <c r="A696" s="1">
        <v>58069</v>
      </c>
    </row>
    <row r="697" spans="1:1" x14ac:dyDescent="0.3">
      <c r="A697" s="1">
        <v>58076</v>
      </c>
    </row>
    <row r="698" spans="1:1" x14ac:dyDescent="0.3">
      <c r="A698" s="1">
        <v>58116</v>
      </c>
    </row>
    <row r="699" spans="1:1" x14ac:dyDescent="0.3">
      <c r="A699" s="1">
        <v>58117</v>
      </c>
    </row>
    <row r="700" spans="1:1" x14ac:dyDescent="0.3">
      <c r="A700" s="1">
        <v>58162</v>
      </c>
    </row>
    <row r="701" spans="1:1" x14ac:dyDescent="0.3">
      <c r="A701" s="1">
        <v>58186</v>
      </c>
    </row>
    <row r="702" spans="1:1" x14ac:dyDescent="0.3">
      <c r="A702" s="1">
        <v>58196</v>
      </c>
    </row>
    <row r="703" spans="1:1" x14ac:dyDescent="0.3">
      <c r="A703" s="1">
        <v>58224</v>
      </c>
    </row>
    <row r="704" spans="1:1" x14ac:dyDescent="0.3">
      <c r="A704" s="1">
        <v>58325</v>
      </c>
    </row>
    <row r="705" spans="1:1" x14ac:dyDescent="0.3">
      <c r="A705" s="1">
        <v>58360</v>
      </c>
    </row>
    <row r="706" spans="1:1" x14ac:dyDescent="0.3">
      <c r="A706" s="1">
        <v>58381</v>
      </c>
    </row>
    <row r="707" spans="1:1" x14ac:dyDescent="0.3">
      <c r="A707" s="1">
        <v>58394</v>
      </c>
    </row>
    <row r="708" spans="1:1" x14ac:dyDescent="0.3">
      <c r="A708" s="1">
        <v>58434</v>
      </c>
    </row>
    <row r="709" spans="1:1" x14ac:dyDescent="0.3">
      <c r="A709" s="1">
        <v>58441</v>
      </c>
    </row>
    <row r="710" spans="1:1" x14ac:dyDescent="0.3">
      <c r="A710" s="1">
        <v>58501</v>
      </c>
    </row>
    <row r="711" spans="1:1" x14ac:dyDescent="0.3">
      <c r="A711" s="1">
        <v>58502</v>
      </c>
    </row>
    <row r="712" spans="1:1" x14ac:dyDescent="0.3">
      <c r="A712" s="1">
        <v>58547</v>
      </c>
    </row>
    <row r="713" spans="1:1" x14ac:dyDescent="0.3">
      <c r="A713" s="1">
        <v>58552</v>
      </c>
    </row>
    <row r="714" spans="1:1" x14ac:dyDescent="0.3">
      <c r="A714" s="1">
        <v>58562</v>
      </c>
    </row>
    <row r="715" spans="1:1" x14ac:dyDescent="0.3">
      <c r="A715" s="1">
        <v>58609</v>
      </c>
    </row>
    <row r="716" spans="1:1" x14ac:dyDescent="0.3">
      <c r="A716" s="1">
        <v>58691</v>
      </c>
    </row>
    <row r="717" spans="1:1" x14ac:dyDescent="0.3">
      <c r="A717" s="1">
        <v>58726</v>
      </c>
    </row>
    <row r="718" spans="1:1" x14ac:dyDescent="0.3">
      <c r="A718" s="1">
        <v>58747</v>
      </c>
    </row>
    <row r="719" spans="1:1" x14ac:dyDescent="0.3">
      <c r="A719" s="1">
        <v>58760</v>
      </c>
    </row>
    <row r="720" spans="1:1" x14ac:dyDescent="0.3">
      <c r="A720" s="1">
        <v>58800</v>
      </c>
    </row>
    <row r="721" spans="1:1" x14ac:dyDescent="0.3">
      <c r="A721" s="1">
        <v>58807</v>
      </c>
    </row>
    <row r="722" spans="1:1" x14ac:dyDescent="0.3">
      <c r="A722" s="1">
        <v>58858</v>
      </c>
    </row>
    <row r="723" spans="1:1" x14ac:dyDescent="0.3">
      <c r="A723" s="1">
        <v>58859</v>
      </c>
    </row>
    <row r="724" spans="1:1" x14ac:dyDescent="0.3">
      <c r="A724" s="1">
        <v>58904</v>
      </c>
    </row>
    <row r="725" spans="1:1" x14ac:dyDescent="0.3">
      <c r="A725" s="1">
        <v>58917</v>
      </c>
    </row>
    <row r="726" spans="1:1" x14ac:dyDescent="0.3">
      <c r="A726" s="1">
        <v>58927</v>
      </c>
    </row>
    <row r="727" spans="1:1" x14ac:dyDescent="0.3">
      <c r="A727" s="1">
        <v>58966</v>
      </c>
    </row>
    <row r="728" spans="1:1" x14ac:dyDescent="0.3">
      <c r="A728" s="1">
        <v>59056</v>
      </c>
    </row>
    <row r="729" spans="1:1" x14ac:dyDescent="0.3">
      <c r="A729" s="1">
        <v>59091</v>
      </c>
    </row>
    <row r="730" spans="1:1" x14ac:dyDescent="0.3">
      <c r="A730" s="1">
        <v>59112</v>
      </c>
    </row>
    <row r="731" spans="1:1" x14ac:dyDescent="0.3">
      <c r="A731" s="1">
        <v>59125</v>
      </c>
    </row>
    <row r="732" spans="1:1" x14ac:dyDescent="0.3">
      <c r="A732" s="1">
        <v>59165</v>
      </c>
    </row>
    <row r="733" spans="1:1" x14ac:dyDescent="0.3">
      <c r="A733" s="1">
        <v>59172</v>
      </c>
    </row>
    <row r="734" spans="1:1" x14ac:dyDescent="0.3">
      <c r="A734" s="1">
        <v>59208</v>
      </c>
    </row>
    <row r="735" spans="1:1" x14ac:dyDescent="0.3">
      <c r="A735" s="1">
        <v>59209</v>
      </c>
    </row>
    <row r="736" spans="1:1" x14ac:dyDescent="0.3">
      <c r="A736" s="1">
        <v>59254</v>
      </c>
    </row>
    <row r="737" spans="1:1" x14ac:dyDescent="0.3">
      <c r="A737" s="1">
        <v>59282</v>
      </c>
    </row>
    <row r="738" spans="1:1" x14ac:dyDescent="0.3">
      <c r="A738" s="1">
        <v>59292</v>
      </c>
    </row>
    <row r="739" spans="1:1" x14ac:dyDescent="0.3">
      <c r="A739" s="1">
        <v>59316</v>
      </c>
    </row>
    <row r="740" spans="1:1" x14ac:dyDescent="0.3">
      <c r="A740" s="1">
        <v>59421</v>
      </c>
    </row>
    <row r="741" spans="1:1" x14ac:dyDescent="0.3">
      <c r="A741" s="1">
        <v>59456</v>
      </c>
    </row>
    <row r="742" spans="1:1" x14ac:dyDescent="0.3">
      <c r="A742" s="1">
        <v>59477</v>
      </c>
    </row>
    <row r="743" spans="1:1" x14ac:dyDescent="0.3">
      <c r="A743" s="1">
        <v>59490</v>
      </c>
    </row>
    <row r="744" spans="1:1" x14ac:dyDescent="0.3">
      <c r="A744" s="1">
        <v>59530</v>
      </c>
    </row>
    <row r="745" spans="1:1" x14ac:dyDescent="0.3">
      <c r="A745" s="1">
        <v>59537</v>
      </c>
    </row>
    <row r="746" spans="1:1" x14ac:dyDescent="0.3">
      <c r="A746" s="1">
        <v>59593</v>
      </c>
    </row>
    <row r="747" spans="1:1" x14ac:dyDescent="0.3">
      <c r="A747" s="1">
        <v>59594</v>
      </c>
    </row>
    <row r="748" spans="1:1" x14ac:dyDescent="0.3">
      <c r="A748" s="1">
        <v>59639</v>
      </c>
    </row>
    <row r="749" spans="1:1" x14ac:dyDescent="0.3">
      <c r="A749" s="1">
        <v>59647</v>
      </c>
    </row>
    <row r="750" spans="1:1" x14ac:dyDescent="0.3">
      <c r="A750" s="1">
        <v>59657</v>
      </c>
    </row>
    <row r="751" spans="1:1" x14ac:dyDescent="0.3">
      <c r="A751" s="1">
        <v>59701</v>
      </c>
    </row>
    <row r="752" spans="1:1" x14ac:dyDescent="0.3">
      <c r="A752" s="1">
        <v>59786</v>
      </c>
    </row>
    <row r="753" spans="1:1" x14ac:dyDescent="0.3">
      <c r="A753" s="1">
        <v>59821</v>
      </c>
    </row>
    <row r="754" spans="1:1" x14ac:dyDescent="0.3">
      <c r="A754" s="1">
        <v>59842</v>
      </c>
    </row>
    <row r="755" spans="1:1" x14ac:dyDescent="0.3">
      <c r="A755" s="1">
        <v>59855</v>
      </c>
    </row>
    <row r="756" spans="1:1" x14ac:dyDescent="0.3">
      <c r="A756" s="1">
        <v>59895</v>
      </c>
    </row>
    <row r="757" spans="1:1" x14ac:dyDescent="0.3">
      <c r="A757" s="1">
        <v>59902</v>
      </c>
    </row>
    <row r="758" spans="1:1" x14ac:dyDescent="0.3">
      <c r="A758" s="1">
        <v>59950</v>
      </c>
    </row>
    <row r="759" spans="1:1" x14ac:dyDescent="0.3">
      <c r="A759" s="1">
        <v>59951</v>
      </c>
    </row>
    <row r="760" spans="1:1" x14ac:dyDescent="0.3">
      <c r="A760" s="1">
        <v>59996</v>
      </c>
    </row>
    <row r="761" spans="1:1" x14ac:dyDescent="0.3">
      <c r="A761" s="1">
        <v>60013</v>
      </c>
    </row>
    <row r="762" spans="1:1" x14ac:dyDescent="0.3">
      <c r="A762" s="1">
        <v>60023</v>
      </c>
    </row>
    <row r="763" spans="1:1" x14ac:dyDescent="0.3">
      <c r="A763" s="1">
        <v>60058</v>
      </c>
    </row>
    <row r="764" spans="1:1" x14ac:dyDescent="0.3">
      <c r="A764" s="1">
        <v>60152</v>
      </c>
    </row>
    <row r="765" spans="1:1" x14ac:dyDescent="0.3">
      <c r="A765" s="1">
        <v>60187</v>
      </c>
    </row>
    <row r="766" spans="1:1" x14ac:dyDescent="0.3">
      <c r="A766" s="1">
        <v>60208</v>
      </c>
    </row>
    <row r="767" spans="1:1" x14ac:dyDescent="0.3">
      <c r="A767" s="1">
        <v>60221</v>
      </c>
    </row>
    <row r="768" spans="1:1" x14ac:dyDescent="0.3">
      <c r="A768" s="1">
        <v>60261</v>
      </c>
    </row>
    <row r="769" spans="1:1" x14ac:dyDescent="0.3">
      <c r="A769" s="1">
        <v>60268</v>
      </c>
    </row>
    <row r="770" spans="1:1" x14ac:dyDescent="0.3">
      <c r="A770" s="1">
        <v>60307</v>
      </c>
    </row>
    <row r="771" spans="1:1" x14ac:dyDescent="0.3">
      <c r="A771" s="1">
        <v>60308</v>
      </c>
    </row>
    <row r="772" spans="1:1" x14ac:dyDescent="0.3">
      <c r="A772" s="1">
        <v>60353</v>
      </c>
    </row>
    <row r="773" spans="1:1" x14ac:dyDescent="0.3">
      <c r="A773" s="1">
        <v>60378</v>
      </c>
    </row>
    <row r="774" spans="1:1" x14ac:dyDescent="0.3">
      <c r="A774" s="1">
        <v>60388</v>
      </c>
    </row>
    <row r="775" spans="1:1" x14ac:dyDescent="0.3">
      <c r="A775" s="1">
        <v>60415</v>
      </c>
    </row>
    <row r="776" spans="1:1" x14ac:dyDescent="0.3">
      <c r="A776" s="1">
        <v>60517</v>
      </c>
    </row>
    <row r="777" spans="1:1" x14ac:dyDescent="0.3">
      <c r="A777" s="1">
        <v>60552</v>
      </c>
    </row>
    <row r="778" spans="1:1" x14ac:dyDescent="0.3">
      <c r="A778" s="1">
        <v>60573</v>
      </c>
    </row>
    <row r="779" spans="1:1" x14ac:dyDescent="0.3">
      <c r="A779" s="1">
        <v>60586</v>
      </c>
    </row>
    <row r="780" spans="1:1" x14ac:dyDescent="0.3">
      <c r="A780" s="1">
        <v>60626</v>
      </c>
    </row>
    <row r="781" spans="1:1" x14ac:dyDescent="0.3">
      <c r="A781" s="1">
        <v>60633</v>
      </c>
    </row>
    <row r="782" spans="1:1" x14ac:dyDescent="0.3">
      <c r="A782" s="1">
        <v>60685</v>
      </c>
    </row>
    <row r="783" spans="1:1" x14ac:dyDescent="0.3">
      <c r="A783" s="1">
        <v>60686</v>
      </c>
    </row>
    <row r="784" spans="1:1" x14ac:dyDescent="0.3">
      <c r="A784" s="1">
        <v>60731</v>
      </c>
    </row>
    <row r="785" spans="1:1" x14ac:dyDescent="0.3">
      <c r="A785" s="1">
        <v>60743</v>
      </c>
    </row>
    <row r="786" spans="1:1" x14ac:dyDescent="0.3">
      <c r="A786" s="1">
        <v>60753</v>
      </c>
    </row>
    <row r="787" spans="1:1" x14ac:dyDescent="0.3">
      <c r="A787" s="1">
        <v>60793</v>
      </c>
    </row>
    <row r="788" spans="1:1" x14ac:dyDescent="0.3">
      <c r="A788" s="1">
        <v>60882</v>
      </c>
    </row>
    <row r="789" spans="1:1" x14ac:dyDescent="0.3">
      <c r="A789" s="1">
        <v>60917</v>
      </c>
    </row>
    <row r="790" spans="1:1" x14ac:dyDescent="0.3">
      <c r="A790" s="1">
        <v>60938</v>
      </c>
    </row>
    <row r="791" spans="1:1" x14ac:dyDescent="0.3">
      <c r="A791" s="1">
        <v>60951</v>
      </c>
    </row>
    <row r="792" spans="1:1" x14ac:dyDescent="0.3">
      <c r="A792" s="1">
        <v>60991</v>
      </c>
    </row>
    <row r="793" spans="1:1" x14ac:dyDescent="0.3">
      <c r="A793" s="1">
        <v>60998</v>
      </c>
    </row>
    <row r="794" spans="1:1" x14ac:dyDescent="0.3">
      <c r="A794" s="1">
        <v>61042</v>
      </c>
    </row>
    <row r="795" spans="1:1" x14ac:dyDescent="0.3">
      <c r="A795" s="1">
        <v>61043</v>
      </c>
    </row>
    <row r="796" spans="1:1" x14ac:dyDescent="0.3">
      <c r="A796" s="1">
        <v>61088</v>
      </c>
    </row>
    <row r="797" spans="1:1" x14ac:dyDescent="0.3">
      <c r="A797" s="1">
        <v>61108</v>
      </c>
    </row>
    <row r="798" spans="1:1" x14ac:dyDescent="0.3">
      <c r="A798" s="1">
        <v>61118</v>
      </c>
    </row>
    <row r="799" spans="1:1" x14ac:dyDescent="0.3">
      <c r="A799" s="1">
        <v>61150</v>
      </c>
    </row>
    <row r="800" spans="1:1" x14ac:dyDescent="0.3">
      <c r="A800" s="1">
        <v>61247</v>
      </c>
    </row>
    <row r="801" spans="1:1" x14ac:dyDescent="0.3">
      <c r="A801" s="1">
        <v>61282</v>
      </c>
    </row>
    <row r="802" spans="1:1" x14ac:dyDescent="0.3">
      <c r="A802" s="1">
        <v>61303</v>
      </c>
    </row>
    <row r="803" spans="1:1" x14ac:dyDescent="0.3">
      <c r="A803" s="1">
        <v>61316</v>
      </c>
    </row>
    <row r="804" spans="1:1" x14ac:dyDescent="0.3">
      <c r="A804" s="1">
        <v>61356</v>
      </c>
    </row>
    <row r="805" spans="1:1" x14ac:dyDescent="0.3">
      <c r="A805" s="1">
        <v>61363</v>
      </c>
    </row>
    <row r="806" spans="1:1" x14ac:dyDescent="0.3">
      <c r="A806" s="1">
        <v>61427</v>
      </c>
    </row>
    <row r="807" spans="1:1" x14ac:dyDescent="0.3">
      <c r="A807" s="1">
        <v>61428</v>
      </c>
    </row>
    <row r="808" spans="1:1" x14ac:dyDescent="0.3">
      <c r="A808" s="1">
        <v>61473</v>
      </c>
    </row>
    <row r="809" spans="1:1" x14ac:dyDescent="0.3">
      <c r="A809" s="1">
        <v>61474</v>
      </c>
    </row>
    <row r="810" spans="1:1" x14ac:dyDescent="0.3">
      <c r="A810" s="1">
        <v>61484</v>
      </c>
    </row>
    <row r="811" spans="1:1" x14ac:dyDescent="0.3">
      <c r="A811" s="1">
        <v>61535</v>
      </c>
    </row>
    <row r="812" spans="1:1" x14ac:dyDescent="0.3">
      <c r="A812" s="1">
        <v>61613</v>
      </c>
    </row>
    <row r="813" spans="1:1" x14ac:dyDescent="0.3">
      <c r="A813" s="1">
        <v>61648</v>
      </c>
    </row>
    <row r="814" spans="1:1" x14ac:dyDescent="0.3">
      <c r="A814" s="1">
        <v>61669</v>
      </c>
    </row>
    <row r="815" spans="1:1" x14ac:dyDescent="0.3">
      <c r="A815" s="1">
        <v>61682</v>
      </c>
    </row>
    <row r="816" spans="1:1" x14ac:dyDescent="0.3">
      <c r="A816" s="1">
        <v>61722</v>
      </c>
    </row>
    <row r="817" spans="1:1" x14ac:dyDescent="0.3">
      <c r="A817" s="1">
        <v>61729</v>
      </c>
    </row>
    <row r="818" spans="1:1" x14ac:dyDescent="0.3">
      <c r="A818" s="1">
        <v>61784</v>
      </c>
    </row>
    <row r="819" spans="1:1" x14ac:dyDescent="0.3">
      <c r="A819" s="1">
        <v>61785</v>
      </c>
    </row>
    <row r="820" spans="1:1" x14ac:dyDescent="0.3">
      <c r="A820" s="1">
        <v>61830</v>
      </c>
    </row>
    <row r="821" spans="1:1" x14ac:dyDescent="0.3">
      <c r="A821" s="1">
        <v>61839</v>
      </c>
    </row>
    <row r="822" spans="1:1" x14ac:dyDescent="0.3">
      <c r="A822" s="1">
        <v>61849</v>
      </c>
    </row>
    <row r="823" spans="1:1" x14ac:dyDescent="0.3">
      <c r="A823" s="1">
        <v>61892</v>
      </c>
    </row>
    <row r="824" spans="1:1" x14ac:dyDescent="0.3">
      <c r="A824" s="1">
        <v>61978</v>
      </c>
    </row>
    <row r="825" spans="1:1" x14ac:dyDescent="0.3">
      <c r="A825" s="1">
        <v>62013</v>
      </c>
    </row>
    <row r="826" spans="1:1" x14ac:dyDescent="0.3">
      <c r="A826" s="1">
        <v>62034</v>
      </c>
    </row>
    <row r="827" spans="1:1" x14ac:dyDescent="0.3">
      <c r="A827" s="1">
        <v>62047</v>
      </c>
    </row>
    <row r="828" spans="1:1" x14ac:dyDescent="0.3">
      <c r="A828" s="1">
        <v>62087</v>
      </c>
    </row>
    <row r="829" spans="1:1" x14ac:dyDescent="0.3">
      <c r="A829" s="1">
        <v>62094</v>
      </c>
    </row>
    <row r="830" spans="1:1" x14ac:dyDescent="0.3">
      <c r="A830" s="1">
        <v>62134</v>
      </c>
    </row>
    <row r="831" spans="1:1" x14ac:dyDescent="0.3">
      <c r="A831" s="1">
        <v>62135</v>
      </c>
    </row>
    <row r="832" spans="1:1" x14ac:dyDescent="0.3">
      <c r="A832" s="1">
        <v>62180</v>
      </c>
    </row>
    <row r="833" spans="1:1" x14ac:dyDescent="0.3">
      <c r="A833" s="1">
        <v>62204</v>
      </c>
    </row>
    <row r="834" spans="1:1" x14ac:dyDescent="0.3">
      <c r="A834" s="1">
        <v>62214</v>
      </c>
    </row>
    <row r="835" spans="1:1" x14ac:dyDescent="0.3">
      <c r="A835" s="1">
        <v>62242</v>
      </c>
    </row>
    <row r="836" spans="1:1" x14ac:dyDescent="0.3">
      <c r="A836" s="1">
        <v>62343</v>
      </c>
    </row>
    <row r="837" spans="1:1" x14ac:dyDescent="0.3">
      <c r="A837" s="1">
        <v>62378</v>
      </c>
    </row>
    <row r="838" spans="1:1" x14ac:dyDescent="0.3">
      <c r="A838" s="1">
        <v>62399</v>
      </c>
    </row>
    <row r="839" spans="1:1" x14ac:dyDescent="0.3">
      <c r="A839" s="1">
        <v>62412</v>
      </c>
    </row>
    <row r="840" spans="1:1" x14ac:dyDescent="0.3">
      <c r="A840" s="1">
        <v>62452</v>
      </c>
    </row>
    <row r="841" spans="1:1" x14ac:dyDescent="0.3">
      <c r="A841" s="1">
        <v>62459</v>
      </c>
    </row>
    <row r="842" spans="1:1" x14ac:dyDescent="0.3">
      <c r="A842" s="1">
        <v>62519</v>
      </c>
    </row>
    <row r="843" spans="1:1" x14ac:dyDescent="0.3">
      <c r="A843" s="1">
        <v>62520</v>
      </c>
    </row>
    <row r="844" spans="1:1" x14ac:dyDescent="0.3">
      <c r="A844" s="1">
        <v>62565</v>
      </c>
    </row>
    <row r="845" spans="1:1" x14ac:dyDescent="0.3">
      <c r="A845" s="1">
        <v>62569</v>
      </c>
    </row>
    <row r="846" spans="1:1" x14ac:dyDescent="0.3">
      <c r="A846" s="1">
        <v>62579</v>
      </c>
    </row>
    <row r="847" spans="1:1" x14ac:dyDescent="0.3">
      <c r="A847" s="1">
        <v>62627</v>
      </c>
    </row>
    <row r="848" spans="1:1" x14ac:dyDescent="0.3">
      <c r="A848" s="1">
        <v>62708</v>
      </c>
    </row>
    <row r="849" spans="1:1" x14ac:dyDescent="0.3">
      <c r="A849" s="1">
        <v>62743</v>
      </c>
    </row>
    <row r="850" spans="1:1" x14ac:dyDescent="0.3">
      <c r="A850" s="1">
        <v>62764</v>
      </c>
    </row>
    <row r="851" spans="1:1" x14ac:dyDescent="0.3">
      <c r="A851" s="1">
        <v>62777</v>
      </c>
    </row>
    <row r="852" spans="1:1" x14ac:dyDescent="0.3">
      <c r="A852" s="1">
        <v>62817</v>
      </c>
    </row>
    <row r="853" spans="1:1" x14ac:dyDescent="0.3">
      <c r="A853" s="1">
        <v>62824</v>
      </c>
    </row>
    <row r="854" spans="1:1" x14ac:dyDescent="0.3">
      <c r="A854" s="1">
        <v>62876</v>
      </c>
    </row>
    <row r="855" spans="1:1" x14ac:dyDescent="0.3">
      <c r="A855" s="1">
        <v>62877</v>
      </c>
    </row>
    <row r="856" spans="1:1" x14ac:dyDescent="0.3">
      <c r="A856" s="1">
        <v>62922</v>
      </c>
    </row>
    <row r="857" spans="1:1" x14ac:dyDescent="0.3">
      <c r="A857" s="1">
        <v>62935</v>
      </c>
    </row>
    <row r="858" spans="1:1" x14ac:dyDescent="0.3">
      <c r="A858" s="1">
        <v>62945</v>
      </c>
    </row>
    <row r="859" spans="1:1" x14ac:dyDescent="0.3">
      <c r="A859" s="1">
        <v>62984</v>
      </c>
    </row>
    <row r="860" spans="1:1" x14ac:dyDescent="0.3">
      <c r="A860" s="1">
        <v>63074</v>
      </c>
    </row>
    <row r="861" spans="1:1" x14ac:dyDescent="0.3">
      <c r="A861" s="1">
        <v>63109</v>
      </c>
    </row>
    <row r="862" spans="1:1" x14ac:dyDescent="0.3">
      <c r="A862" s="1">
        <v>63130</v>
      </c>
    </row>
    <row r="863" spans="1:1" x14ac:dyDescent="0.3">
      <c r="A863" s="1">
        <v>63143</v>
      </c>
    </row>
    <row r="864" spans="1:1" x14ac:dyDescent="0.3">
      <c r="A864" s="1">
        <v>63183</v>
      </c>
    </row>
    <row r="865" spans="1:1" x14ac:dyDescent="0.3">
      <c r="A865" s="1">
        <v>63190</v>
      </c>
    </row>
    <row r="866" spans="1:1" x14ac:dyDescent="0.3">
      <c r="A866" s="1">
        <v>63226</v>
      </c>
    </row>
    <row r="867" spans="1:1" x14ac:dyDescent="0.3">
      <c r="A867" s="1">
        <v>63227</v>
      </c>
    </row>
    <row r="868" spans="1:1" x14ac:dyDescent="0.3">
      <c r="A868" s="1">
        <v>63272</v>
      </c>
    </row>
    <row r="869" spans="1:1" x14ac:dyDescent="0.3">
      <c r="A869" s="1">
        <v>63300</v>
      </c>
    </row>
    <row r="870" spans="1:1" x14ac:dyDescent="0.3">
      <c r="A870" s="1">
        <v>63310</v>
      </c>
    </row>
    <row r="871" spans="1:1" x14ac:dyDescent="0.3">
      <c r="A871" s="1">
        <v>63334</v>
      </c>
    </row>
    <row r="872" spans="1:1" x14ac:dyDescent="0.3">
      <c r="A872" s="1">
        <v>63439</v>
      </c>
    </row>
    <row r="873" spans="1:1" x14ac:dyDescent="0.3">
      <c r="A873" s="1">
        <v>63474</v>
      </c>
    </row>
    <row r="874" spans="1:1" x14ac:dyDescent="0.3">
      <c r="A874" s="1">
        <v>63495</v>
      </c>
    </row>
    <row r="875" spans="1:1" x14ac:dyDescent="0.3">
      <c r="A875" s="1">
        <v>63508</v>
      </c>
    </row>
    <row r="876" spans="1:1" x14ac:dyDescent="0.3">
      <c r="A876" s="1">
        <v>63548</v>
      </c>
    </row>
    <row r="877" spans="1:1" x14ac:dyDescent="0.3">
      <c r="A877" s="1">
        <v>63555</v>
      </c>
    </row>
    <row r="878" spans="1:1" x14ac:dyDescent="0.3">
      <c r="A878" s="1">
        <v>63611</v>
      </c>
    </row>
    <row r="879" spans="1:1" x14ac:dyDescent="0.3">
      <c r="A879" s="1">
        <v>63612</v>
      </c>
    </row>
    <row r="880" spans="1:1" x14ac:dyDescent="0.3">
      <c r="A880" s="1">
        <v>63657</v>
      </c>
    </row>
    <row r="881" spans="1:1" x14ac:dyDescent="0.3">
      <c r="A881" s="1">
        <v>63665</v>
      </c>
    </row>
    <row r="882" spans="1:1" x14ac:dyDescent="0.3">
      <c r="A882" s="1">
        <v>63675</v>
      </c>
    </row>
    <row r="883" spans="1:1" x14ac:dyDescent="0.3">
      <c r="A883" s="1">
        <v>63719</v>
      </c>
    </row>
    <row r="884" spans="1:1" x14ac:dyDescent="0.3">
      <c r="A884" s="1">
        <v>63804</v>
      </c>
    </row>
    <row r="885" spans="1:1" x14ac:dyDescent="0.3">
      <c r="A885" s="1">
        <v>63839</v>
      </c>
    </row>
    <row r="886" spans="1:1" x14ac:dyDescent="0.3">
      <c r="A886" s="1">
        <v>63860</v>
      </c>
    </row>
    <row r="887" spans="1:1" x14ac:dyDescent="0.3">
      <c r="A887" s="1">
        <v>63873</v>
      </c>
    </row>
    <row r="888" spans="1:1" x14ac:dyDescent="0.3">
      <c r="A888" s="1">
        <v>63913</v>
      </c>
    </row>
    <row r="889" spans="1:1" x14ac:dyDescent="0.3">
      <c r="A889" s="1">
        <v>63920</v>
      </c>
    </row>
    <row r="890" spans="1:1" x14ac:dyDescent="0.3">
      <c r="A890" s="1">
        <v>63968</v>
      </c>
    </row>
    <row r="891" spans="1:1" x14ac:dyDescent="0.3">
      <c r="A891" s="1">
        <v>63969</v>
      </c>
    </row>
    <row r="892" spans="1:1" x14ac:dyDescent="0.3">
      <c r="A892" s="1">
        <v>64014</v>
      </c>
    </row>
    <row r="893" spans="1:1" x14ac:dyDescent="0.3">
      <c r="A893" s="1">
        <v>64030</v>
      </c>
    </row>
    <row r="894" spans="1:1" x14ac:dyDescent="0.3">
      <c r="A894" s="1">
        <v>64040</v>
      </c>
    </row>
    <row r="895" spans="1:1" x14ac:dyDescent="0.3">
      <c r="A895" s="1">
        <v>64076</v>
      </c>
    </row>
    <row r="896" spans="1:1" x14ac:dyDescent="0.3">
      <c r="A896" s="1">
        <v>64169</v>
      </c>
    </row>
    <row r="897" spans="1:1" x14ac:dyDescent="0.3">
      <c r="A897" s="1">
        <v>64204</v>
      </c>
    </row>
    <row r="898" spans="1:1" x14ac:dyDescent="0.3">
      <c r="A898" s="1">
        <v>64225</v>
      </c>
    </row>
    <row r="899" spans="1:1" x14ac:dyDescent="0.3">
      <c r="A899" s="1">
        <v>64238</v>
      </c>
    </row>
    <row r="900" spans="1:1" x14ac:dyDescent="0.3">
      <c r="A900" s="1">
        <v>64278</v>
      </c>
    </row>
    <row r="901" spans="1:1" x14ac:dyDescent="0.3">
      <c r="A901" s="1">
        <v>64285</v>
      </c>
    </row>
    <row r="902" spans="1:1" x14ac:dyDescent="0.3">
      <c r="A902" s="1">
        <v>64346</v>
      </c>
    </row>
    <row r="903" spans="1:1" x14ac:dyDescent="0.3">
      <c r="A903" s="1">
        <v>64347</v>
      </c>
    </row>
    <row r="904" spans="1:1" x14ac:dyDescent="0.3">
      <c r="A904" s="1">
        <v>64392</v>
      </c>
    </row>
    <row r="905" spans="1:1" x14ac:dyDescent="0.3">
      <c r="A905" s="1">
        <v>64396</v>
      </c>
    </row>
    <row r="906" spans="1:1" x14ac:dyDescent="0.3">
      <c r="A906" s="1">
        <v>64406</v>
      </c>
    </row>
    <row r="907" spans="1:1" x14ac:dyDescent="0.3">
      <c r="A907" s="1">
        <v>64454</v>
      </c>
    </row>
    <row r="908" spans="1:1" x14ac:dyDescent="0.3">
      <c r="A908" s="1">
        <v>64535</v>
      </c>
    </row>
    <row r="909" spans="1:1" x14ac:dyDescent="0.3">
      <c r="A909" s="1">
        <v>64570</v>
      </c>
    </row>
    <row r="910" spans="1:1" x14ac:dyDescent="0.3">
      <c r="A910" s="1">
        <v>64591</v>
      </c>
    </row>
    <row r="911" spans="1:1" x14ac:dyDescent="0.3">
      <c r="A911" s="1">
        <v>64604</v>
      </c>
    </row>
    <row r="912" spans="1:1" x14ac:dyDescent="0.3">
      <c r="A912" s="1">
        <v>64644</v>
      </c>
    </row>
    <row r="913" spans="1:1" x14ac:dyDescent="0.3">
      <c r="A913" s="1">
        <v>64651</v>
      </c>
    </row>
    <row r="914" spans="1:1" x14ac:dyDescent="0.3">
      <c r="A914" s="1">
        <v>64703</v>
      </c>
    </row>
    <row r="915" spans="1:1" x14ac:dyDescent="0.3">
      <c r="A915" s="1">
        <v>64704</v>
      </c>
    </row>
    <row r="916" spans="1:1" x14ac:dyDescent="0.3">
      <c r="A916" s="1">
        <v>64749</v>
      </c>
    </row>
    <row r="917" spans="1:1" x14ac:dyDescent="0.3">
      <c r="A917" s="1">
        <v>64761</v>
      </c>
    </row>
    <row r="918" spans="1:1" x14ac:dyDescent="0.3">
      <c r="A918" s="1">
        <v>64771</v>
      </c>
    </row>
    <row r="919" spans="1:1" x14ac:dyDescent="0.3">
      <c r="A919" s="1">
        <v>64811</v>
      </c>
    </row>
    <row r="920" spans="1:1" x14ac:dyDescent="0.3">
      <c r="A920" s="1">
        <v>64900</v>
      </c>
    </row>
    <row r="921" spans="1:1" x14ac:dyDescent="0.3">
      <c r="A921" s="1">
        <v>64935</v>
      </c>
    </row>
    <row r="922" spans="1:1" x14ac:dyDescent="0.3">
      <c r="A922" s="1">
        <v>64956</v>
      </c>
    </row>
    <row r="923" spans="1:1" x14ac:dyDescent="0.3">
      <c r="A923" s="1">
        <v>64969</v>
      </c>
    </row>
    <row r="924" spans="1:1" x14ac:dyDescent="0.3">
      <c r="A924" s="1">
        <v>65009</v>
      </c>
    </row>
    <row r="925" spans="1:1" x14ac:dyDescent="0.3">
      <c r="A925" s="1">
        <v>65016</v>
      </c>
    </row>
    <row r="926" spans="1:1" x14ac:dyDescent="0.3">
      <c r="A926" s="1">
        <v>65060</v>
      </c>
    </row>
    <row r="927" spans="1:1" x14ac:dyDescent="0.3">
      <c r="A927" s="1">
        <v>65061</v>
      </c>
    </row>
    <row r="928" spans="1:1" x14ac:dyDescent="0.3">
      <c r="A928" s="1">
        <v>65106</v>
      </c>
    </row>
    <row r="929" spans="1:1" x14ac:dyDescent="0.3">
      <c r="A929" s="1">
        <v>65126</v>
      </c>
    </row>
    <row r="930" spans="1:1" x14ac:dyDescent="0.3">
      <c r="A930" s="1">
        <v>65136</v>
      </c>
    </row>
    <row r="931" spans="1:1" x14ac:dyDescent="0.3">
      <c r="A931" s="1">
        <v>65168</v>
      </c>
    </row>
    <row r="932" spans="1:1" x14ac:dyDescent="0.3">
      <c r="A932" s="1">
        <v>65265</v>
      </c>
    </row>
    <row r="933" spans="1:1" x14ac:dyDescent="0.3">
      <c r="A933" s="1">
        <v>65300</v>
      </c>
    </row>
    <row r="934" spans="1:1" x14ac:dyDescent="0.3">
      <c r="A934" s="1">
        <v>65321</v>
      </c>
    </row>
    <row r="935" spans="1:1" x14ac:dyDescent="0.3">
      <c r="A935" s="1">
        <v>65334</v>
      </c>
    </row>
    <row r="936" spans="1:1" x14ac:dyDescent="0.3">
      <c r="A936" s="1">
        <v>65374</v>
      </c>
    </row>
  </sheetData>
  <pageMargins left="0.511811024" right="0.511811024" top="0.78740157499999996" bottom="0.78740157499999996" header="0.31496062000000002" footer="0.31496062000000002"/>
  <pageSetup paperSize="9" orientation="portrait" r:id="rId1"/>
  <headerFooter>
    <oddHeader>&amp;R&amp;"Calibri"&amp;10&amp;K000000#interna&amp;1#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Plan3"/>
  <dimension ref="A1:Y96"/>
  <sheetViews>
    <sheetView topLeftCell="E12" zoomScaleNormal="100" workbookViewId="0">
      <selection activeCell="T19" sqref="T19"/>
    </sheetView>
  </sheetViews>
  <sheetFormatPr defaultColWidth="0" defaultRowHeight="13.2" customHeight="1" zeroHeight="1" x14ac:dyDescent="0.25"/>
  <cols>
    <col min="1" max="1" width="12.88671875" style="18" customWidth="1"/>
    <col min="2" max="2" width="20.6640625" style="18" customWidth="1"/>
    <col min="3" max="3" width="14.6640625" style="18" customWidth="1"/>
    <col min="4" max="4" width="15.88671875" style="18" customWidth="1"/>
    <col min="5" max="5" width="14" style="18" customWidth="1"/>
    <col min="6" max="6" width="24.5546875" style="18" bestFit="1" customWidth="1"/>
    <col min="7" max="15" width="14" style="18" customWidth="1"/>
    <col min="16" max="16" width="20.44140625" style="18" customWidth="1"/>
    <col min="17" max="17" width="19" style="18" customWidth="1"/>
    <col min="18" max="18" width="22.5546875" style="18" customWidth="1"/>
    <col min="19" max="19" width="8.44140625" style="18" bestFit="1" customWidth="1"/>
    <col min="20" max="20" width="15" style="18" bestFit="1" customWidth="1"/>
    <col min="21" max="21" width="9.109375" style="9" customWidth="1"/>
    <col min="22" max="24" width="9.109375" style="18" hidden="1" customWidth="1"/>
    <col min="25" max="25" width="10.44140625" style="18" hidden="1" customWidth="1"/>
    <col min="26" max="16384" width="9.109375" style="18" hidden="1"/>
  </cols>
  <sheetData>
    <row r="1" spans="1:21" s="8" customFormat="1" ht="18" thickBot="1" x14ac:dyDescent="0.35">
      <c r="A1" s="3" t="s">
        <v>0</v>
      </c>
      <c r="B1" s="33">
        <f>DATEVALUE(+E1)</f>
        <v>44971</v>
      </c>
      <c r="C1" s="4" t="s">
        <v>2</v>
      </c>
      <c r="D1" s="5"/>
      <c r="E1" s="34" t="str">
        <f>RIGHT(A14,11)</f>
        <v xml:space="preserve"> 14/02/2023</v>
      </c>
      <c r="F1" s="5"/>
      <c r="G1" s="6" t="s">
        <v>3</v>
      </c>
      <c r="H1" s="5"/>
      <c r="I1" s="5"/>
      <c r="J1" s="7" t="s">
        <v>4</v>
      </c>
      <c r="K1" s="5"/>
      <c r="L1" s="5"/>
      <c r="M1" s="5"/>
      <c r="N1" s="5"/>
      <c r="O1" s="5"/>
      <c r="P1" s="5"/>
      <c r="Q1" s="5"/>
      <c r="R1" s="5"/>
      <c r="S1" s="36" t="s">
        <v>5</v>
      </c>
      <c r="T1" s="36" t="s">
        <v>6</v>
      </c>
      <c r="U1" s="36" t="s">
        <v>7</v>
      </c>
    </row>
    <row r="2" spans="1:21" s="8" customFormat="1" ht="27.75" customHeight="1" x14ac:dyDescent="0.3">
      <c r="A2" s="9"/>
      <c r="B2" s="9"/>
      <c r="C2" s="5"/>
      <c r="D2" s="5"/>
      <c r="E2" s="5"/>
      <c r="F2" s="5"/>
      <c r="G2" s="225" t="s">
        <v>8</v>
      </c>
      <c r="H2" s="225"/>
      <c r="I2" s="225"/>
      <c r="J2" s="225"/>
      <c r="K2" s="225"/>
      <c r="L2" s="225"/>
      <c r="M2" s="225"/>
      <c r="N2" s="225"/>
      <c r="O2" s="225"/>
      <c r="P2" s="225"/>
      <c r="Q2" s="10"/>
      <c r="R2" s="5"/>
      <c r="S2" s="11" t="s">
        <v>9</v>
      </c>
      <c r="T2" s="11" t="s">
        <v>10</v>
      </c>
      <c r="U2" s="37" t="s">
        <v>11</v>
      </c>
    </row>
    <row r="3" spans="1:21" s="8" customFormat="1" ht="25.5" customHeight="1" thickBot="1" x14ac:dyDescent="0.35">
      <c r="A3" s="12" t="s">
        <v>178</v>
      </c>
      <c r="B3" s="101">
        <f>VALUE(RIGHT(A42,9))</f>
        <v>6506.84</v>
      </c>
      <c r="D3" s="5"/>
      <c r="E3" s="5"/>
      <c r="F3" s="5"/>
      <c r="G3" s="13" t="s">
        <v>134</v>
      </c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11" t="s">
        <v>12</v>
      </c>
      <c r="T3" s="11" t="s">
        <v>13</v>
      </c>
      <c r="U3" s="37" t="s">
        <v>14</v>
      </c>
    </row>
    <row r="4" spans="1:21" s="8" customFormat="1" ht="22.5" customHeight="1" x14ac:dyDescent="0.3">
      <c r="A4" s="14"/>
      <c r="B4" s="15" t="s">
        <v>15</v>
      </c>
      <c r="C4" s="5"/>
      <c r="D4" s="5"/>
      <c r="E4" s="5"/>
      <c r="F4" s="5"/>
      <c r="G4" s="13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11" t="s">
        <v>16</v>
      </c>
      <c r="T4" s="11" t="s">
        <v>17</v>
      </c>
      <c r="U4" s="37" t="s">
        <v>18</v>
      </c>
    </row>
    <row r="5" spans="1:21" s="8" customFormat="1" ht="17.399999999999999" x14ac:dyDescent="0.3">
      <c r="A5" s="14"/>
      <c r="B5" s="226" t="s">
        <v>19</v>
      </c>
      <c r="C5" s="226"/>
      <c r="D5" s="226"/>
      <c r="E5" s="226"/>
      <c r="F5" s="226"/>
      <c r="G5" s="226"/>
      <c r="H5" s="226"/>
      <c r="I5" s="226"/>
      <c r="J5" s="226"/>
      <c r="K5" s="226"/>
      <c r="L5" s="5"/>
      <c r="M5" s="5"/>
      <c r="N5" s="5"/>
      <c r="O5" s="5"/>
      <c r="P5" s="5"/>
      <c r="Q5" s="5"/>
      <c r="R5" s="5"/>
      <c r="S5" s="11" t="s">
        <v>20</v>
      </c>
      <c r="T5" s="11" t="s">
        <v>21</v>
      </c>
      <c r="U5" s="37" t="s">
        <v>22</v>
      </c>
    </row>
    <row r="6" spans="1:21" s="8" customFormat="1" ht="17.399999999999999" x14ac:dyDescent="0.3">
      <c r="A6" s="14"/>
      <c r="B6" s="9"/>
      <c r="C6" s="5"/>
      <c r="D6" s="16"/>
      <c r="E6" s="5"/>
      <c r="F6" s="5"/>
      <c r="G6" s="17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11" t="s">
        <v>23</v>
      </c>
      <c r="T6" s="11" t="s">
        <v>24</v>
      </c>
      <c r="U6" s="37" t="s">
        <v>25</v>
      </c>
    </row>
    <row r="7" spans="1:21" s="8" customFormat="1" ht="17.399999999999999" x14ac:dyDescent="0.3">
      <c r="A7" s="14"/>
      <c r="B7" s="9"/>
      <c r="C7" s="5"/>
      <c r="D7" s="5"/>
      <c r="E7" s="5"/>
      <c r="F7" s="5"/>
      <c r="G7" s="13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11" t="s">
        <v>26</v>
      </c>
      <c r="T7" s="11" t="s">
        <v>27</v>
      </c>
      <c r="U7" s="37" t="s">
        <v>28</v>
      </c>
    </row>
    <row r="8" spans="1:21" s="8" customFormat="1" ht="17.399999999999999" x14ac:dyDescent="0.3">
      <c r="A8" s="14"/>
      <c r="B8" s="9"/>
      <c r="C8" s="5"/>
      <c r="D8" s="5"/>
      <c r="E8" s="5"/>
      <c r="F8" s="5"/>
      <c r="G8" s="13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11" t="s">
        <v>29</v>
      </c>
      <c r="T8" s="11" t="s">
        <v>30</v>
      </c>
      <c r="U8" s="37" t="s">
        <v>31</v>
      </c>
    </row>
    <row r="9" spans="1:21" s="8" customFormat="1" ht="17.399999999999999" x14ac:dyDescent="0.3">
      <c r="A9" s="14"/>
      <c r="B9" s="9"/>
      <c r="C9" s="5"/>
      <c r="D9" s="5"/>
      <c r="E9" s="5"/>
      <c r="F9" s="38">
        <f>+SUM(F19:F57)</f>
        <v>6080572571</v>
      </c>
      <c r="G9" s="13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11" t="s">
        <v>32</v>
      </c>
      <c r="T9" s="11" t="s">
        <v>33</v>
      </c>
      <c r="U9" s="37" t="s">
        <v>34</v>
      </c>
    </row>
    <row r="10" spans="1:21" s="8" customFormat="1" ht="48.75" customHeight="1" x14ac:dyDescent="0.3">
      <c r="A10" s="14" t="s">
        <v>35</v>
      </c>
      <c r="B10" s="9"/>
      <c r="C10" s="5"/>
      <c r="D10" s="5"/>
      <c r="E10" s="5"/>
      <c r="F10" s="5"/>
      <c r="G10" s="17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11" t="s">
        <v>36</v>
      </c>
      <c r="T10" s="11" t="s">
        <v>37</v>
      </c>
      <c r="U10" s="37" t="s">
        <v>38</v>
      </c>
    </row>
    <row r="11" spans="1:21" s="8" customFormat="1" ht="31.5" customHeight="1" x14ac:dyDescent="0.3">
      <c r="A11" s="24" t="s">
        <v>135</v>
      </c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5"/>
      <c r="S11" s="11" t="s">
        <v>39</v>
      </c>
      <c r="T11" s="11" t="s">
        <v>40</v>
      </c>
      <c r="U11" s="37" t="s">
        <v>41</v>
      </c>
    </row>
    <row r="12" spans="1:21" x14ac:dyDescent="0.25">
      <c r="A12" s="25"/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9"/>
      <c r="S12" s="11" t="s">
        <v>42</v>
      </c>
      <c r="T12" s="11" t="s">
        <v>43</v>
      </c>
      <c r="U12" s="37" t="s">
        <v>44</v>
      </c>
    </row>
    <row r="13" spans="1:21" ht="12.75" customHeight="1" x14ac:dyDescent="0.25">
      <c r="A13" s="25"/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19"/>
      <c r="S13" s="11" t="s">
        <v>45</v>
      </c>
      <c r="T13" s="11" t="s">
        <v>46</v>
      </c>
      <c r="U13" s="37" t="s">
        <v>47</v>
      </c>
    </row>
    <row r="14" spans="1:21" x14ac:dyDescent="0.25">
      <c r="A14" s="25" t="s">
        <v>136</v>
      </c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9"/>
      <c r="S14" s="9"/>
      <c r="T14" s="9"/>
    </row>
    <row r="15" spans="1:21" x14ac:dyDescent="0.25">
      <c r="A15" s="25"/>
      <c r="B15" s="25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9"/>
      <c r="S15" s="9"/>
      <c r="T15" s="9"/>
    </row>
    <row r="16" spans="1:21" x14ac:dyDescent="0.25">
      <c r="A16" s="26" t="s">
        <v>48</v>
      </c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9"/>
      <c r="S16" s="9"/>
      <c r="T16" s="9"/>
    </row>
    <row r="17" spans="1:20" s="9" customFormat="1" ht="12.75" customHeight="1" x14ac:dyDescent="0.25">
      <c r="A17" s="35" t="s">
        <v>49</v>
      </c>
      <c r="B17" s="35" t="s">
        <v>50</v>
      </c>
      <c r="C17" s="35"/>
      <c r="D17" s="35"/>
      <c r="E17" s="35"/>
      <c r="F17" s="35"/>
      <c r="G17" s="35" t="s">
        <v>49</v>
      </c>
      <c r="H17" s="35"/>
      <c r="I17" s="35"/>
      <c r="J17" s="35"/>
      <c r="K17" s="35"/>
      <c r="L17" s="35"/>
      <c r="M17" s="35"/>
      <c r="N17" s="35"/>
      <c r="O17" s="35"/>
      <c r="P17" s="35"/>
      <c r="Q17" s="35"/>
    </row>
    <row r="18" spans="1:20" s="9" customFormat="1" ht="39.6" x14ac:dyDescent="0.25">
      <c r="A18" s="35" t="s">
        <v>51</v>
      </c>
      <c r="B18" s="35" t="s">
        <v>52</v>
      </c>
      <c r="C18" s="35" t="s">
        <v>53</v>
      </c>
      <c r="D18" s="35" t="s">
        <v>54</v>
      </c>
      <c r="E18" s="35" t="s">
        <v>55</v>
      </c>
      <c r="F18" s="35" t="s">
        <v>56</v>
      </c>
      <c r="G18" s="35" t="s">
        <v>151</v>
      </c>
      <c r="H18" s="35" t="s">
        <v>152</v>
      </c>
      <c r="I18" s="35" t="s">
        <v>59</v>
      </c>
      <c r="J18" s="35" t="s">
        <v>60</v>
      </c>
      <c r="K18" s="35" t="s">
        <v>61</v>
      </c>
      <c r="L18" s="35" t="s">
        <v>62</v>
      </c>
      <c r="M18" s="35" t="s">
        <v>63</v>
      </c>
      <c r="N18" s="35" t="s">
        <v>64</v>
      </c>
      <c r="O18" s="35" t="s">
        <v>65</v>
      </c>
      <c r="P18" s="35" t="s">
        <v>66</v>
      </c>
      <c r="Q18" s="35" t="s">
        <v>67</v>
      </c>
      <c r="R18" s="23" t="s">
        <v>6</v>
      </c>
      <c r="S18" s="23" t="s">
        <v>1</v>
      </c>
      <c r="T18" s="23" t="s">
        <v>68</v>
      </c>
    </row>
    <row r="19" spans="1:20" s="9" customFormat="1" x14ac:dyDescent="0.25">
      <c r="A19" s="27" t="s">
        <v>69</v>
      </c>
      <c r="B19" s="28">
        <v>9837</v>
      </c>
      <c r="C19" s="28">
        <v>9837</v>
      </c>
      <c r="D19" s="28">
        <v>0</v>
      </c>
      <c r="E19" s="28">
        <v>0</v>
      </c>
      <c r="F19" s="28">
        <v>0</v>
      </c>
      <c r="G19" s="29">
        <v>99973.25</v>
      </c>
      <c r="H19" s="29">
        <v>99973.25</v>
      </c>
      <c r="I19" s="27">
        <v>0</v>
      </c>
      <c r="J19" s="27">
        <v>0</v>
      </c>
      <c r="K19" s="27">
        <v>0</v>
      </c>
      <c r="L19" s="27">
        <v>0</v>
      </c>
      <c r="M19" s="27">
        <v>0</v>
      </c>
      <c r="N19" s="29">
        <v>99973.23</v>
      </c>
      <c r="O19" s="27" t="s">
        <v>153</v>
      </c>
      <c r="P19" s="27">
        <v>0</v>
      </c>
      <c r="Q19" s="27">
        <v>0</v>
      </c>
      <c r="R19" s="20">
        <f>IF(OR(A19="",LEN(A19)&lt;&gt;3),"",WORKDAY(WORKDAY(DATEVALUE("15/"&amp;VLOOKUP(LEFT(A19,1),$S$1:$U$13,3,FALSE)&amp;"/"&amp;20&amp;RIGHT(A19,2)),-1,Feriados!$A$2:$A$2000),1,Feriados!$A$2:$A$2000))</f>
        <v>44972</v>
      </c>
      <c r="S19" s="21">
        <f>IF(OR(R19="",R19="Cadastrar ativo na aba Banco de Códigos B3"),"",NETWORKDAYS($B$1,R19-1,Feriados!$A$2:$A$2000))</f>
        <v>1</v>
      </c>
      <c r="T19" s="22">
        <f>IF(OR(R19="",R19="Cadastrar ativo na aba Banco de Códigos B3"),"",+ROUND(((100000/N19)^(252/S19)-1)*100,2))</f>
        <v>6.98</v>
      </c>
    </row>
    <row r="20" spans="1:20" s="9" customFormat="1" x14ac:dyDescent="0.25">
      <c r="A20" s="27" t="s">
        <v>70</v>
      </c>
      <c r="B20" s="28">
        <v>3100</v>
      </c>
      <c r="C20" s="28">
        <v>3100</v>
      </c>
      <c r="D20" s="27">
        <v>0</v>
      </c>
      <c r="E20" s="28">
        <v>0</v>
      </c>
      <c r="F20" s="28">
        <v>0</v>
      </c>
      <c r="G20" s="29">
        <v>99637.96</v>
      </c>
      <c r="H20" s="29">
        <v>99637.96</v>
      </c>
      <c r="I20" s="27">
        <v>0</v>
      </c>
      <c r="J20" s="27">
        <v>0</v>
      </c>
      <c r="K20" s="27">
        <v>0</v>
      </c>
      <c r="L20" s="27">
        <v>0</v>
      </c>
      <c r="M20" s="27">
        <v>0</v>
      </c>
      <c r="N20" s="29">
        <v>99639.97</v>
      </c>
      <c r="O20" s="27" t="s">
        <v>154</v>
      </c>
      <c r="P20" s="27">
        <v>0</v>
      </c>
      <c r="Q20" s="27">
        <v>0</v>
      </c>
      <c r="R20" s="20">
        <f>IF(OR(A20="",LEN(A20)&lt;&gt;3),"",WORKDAY(WORKDAY(DATEVALUE("15/"&amp;VLOOKUP(LEFT(A20,1),$S$1:$U$13,3,FALSE)&amp;"/"&amp;20&amp;RIGHT(A20,2)),-1,Feriados!$A$2:$A$2000),1,Feriados!$A$2:$A$2000))</f>
        <v>45000</v>
      </c>
      <c r="S20" s="21">
        <f>IF(OR(R20="",R20="Cadastrar ativo na aba Banco de Códigos B3"),"",NETWORKDAYS($B$1,R20-1,Feriados!$A$2:$A$2000))</f>
        <v>19</v>
      </c>
      <c r="T20" s="22">
        <f t="shared" ref="T20:T83" si="0">IF(OR(R20="",R20="Cadastrar ativo na aba Banco de Códigos B3"),"",+ROUND(((100000/N20)^(252/S20)-1)*100,2))</f>
        <v>4.9000000000000004</v>
      </c>
    </row>
    <row r="21" spans="1:20" s="9" customFormat="1" x14ac:dyDescent="0.25">
      <c r="A21" s="27" t="s">
        <v>71</v>
      </c>
      <c r="B21" s="28">
        <v>0</v>
      </c>
      <c r="C21" s="28">
        <v>0</v>
      </c>
      <c r="D21" s="28">
        <v>0</v>
      </c>
      <c r="E21" s="28">
        <v>0</v>
      </c>
      <c r="F21" s="28">
        <v>0</v>
      </c>
      <c r="G21" s="29">
        <v>99292.49</v>
      </c>
      <c r="H21" s="29">
        <v>99292.49</v>
      </c>
      <c r="I21" s="27">
        <v>0</v>
      </c>
      <c r="J21" s="27">
        <v>0</v>
      </c>
      <c r="K21" s="27">
        <v>0</v>
      </c>
      <c r="L21" s="27">
        <v>0</v>
      </c>
      <c r="M21" s="27">
        <v>0</v>
      </c>
      <c r="N21" s="29">
        <v>99304.97</v>
      </c>
      <c r="O21" s="27" t="s">
        <v>155</v>
      </c>
      <c r="P21" s="27">
        <v>0</v>
      </c>
      <c r="Q21" s="27">
        <v>0</v>
      </c>
      <c r="R21" s="20">
        <f>IF(OR(A21="",LEN(A21)&lt;&gt;3),"",WORKDAY(WORKDAY(DATEVALUE("15/"&amp;VLOOKUP(LEFT(A21,1),$S$1:$U$13,3,FALSE)&amp;"/"&amp;20&amp;RIGHT(A21,2)),-1,Feriados!$A$2:$A$2000),1,Feriados!$A$2:$A$2000))</f>
        <v>45033</v>
      </c>
      <c r="S21" s="21">
        <f>IF(OR(R21="",R21="Cadastrar ativo na aba Banco de Códigos B3"),"",NETWORKDAYS($B$1,R21-1,Feriados!$A$2:$A$2000))</f>
        <v>41</v>
      </c>
      <c r="T21" s="22">
        <f t="shared" si="0"/>
        <v>4.38</v>
      </c>
    </row>
    <row r="22" spans="1:20" s="9" customFormat="1" x14ac:dyDescent="0.25">
      <c r="A22" s="27" t="s">
        <v>99</v>
      </c>
      <c r="B22" s="28">
        <v>250118</v>
      </c>
      <c r="C22" s="28">
        <v>249116</v>
      </c>
      <c r="D22" s="28">
        <v>19</v>
      </c>
      <c r="E22" s="28">
        <v>1627</v>
      </c>
      <c r="F22" s="28">
        <v>261927668</v>
      </c>
      <c r="G22" s="29">
        <v>98961.42</v>
      </c>
      <c r="H22" s="29">
        <v>98961.42</v>
      </c>
      <c r="I22" s="27">
        <v>4.5599999999999996</v>
      </c>
      <c r="J22" s="27">
        <v>4.5</v>
      </c>
      <c r="K22" s="27">
        <v>4.57</v>
      </c>
      <c r="L22" s="27">
        <v>4.54</v>
      </c>
      <c r="M22" s="27">
        <v>4.57</v>
      </c>
      <c r="N22" s="29">
        <v>98959.22</v>
      </c>
      <c r="O22" s="27" t="s">
        <v>156</v>
      </c>
      <c r="P22" s="27">
        <v>0</v>
      </c>
      <c r="Q22" s="27">
        <v>4.75</v>
      </c>
      <c r="R22" s="20">
        <f>IF(OR(A22="",LEN(A22)&lt;&gt;3),"",WORKDAY(WORKDAY(DATEVALUE("15/"&amp;VLOOKUP(LEFT(A22,1),$S$1:$U$13,3,FALSE)&amp;"/"&amp;20&amp;RIGHT(A22,2)),-1,Feriados!$A$2:$A$2000),1,Feriados!$A$2:$A$2000))</f>
        <v>45061</v>
      </c>
      <c r="S22" s="21">
        <f>IF(OR(R22="",R22="Cadastrar ativo na aba Banco de Códigos B3"),"",NETWORKDAYS($B$1,R22-1,Feriados!$A$2:$A$2000))</f>
        <v>59</v>
      </c>
      <c r="T22" s="22">
        <f t="shared" si="0"/>
        <v>4.57</v>
      </c>
    </row>
    <row r="23" spans="1:20" s="9" customFormat="1" x14ac:dyDescent="0.25">
      <c r="A23" s="27" t="s">
        <v>74</v>
      </c>
      <c r="B23" s="28">
        <v>42902</v>
      </c>
      <c r="C23" s="28">
        <v>43643</v>
      </c>
      <c r="D23" s="28">
        <v>17</v>
      </c>
      <c r="E23" s="28">
        <v>755</v>
      </c>
      <c r="F23" s="28">
        <v>116240163</v>
      </c>
      <c r="G23" s="29">
        <v>94575.25</v>
      </c>
      <c r="H23" s="29">
        <v>94575.25</v>
      </c>
      <c r="I23" s="27">
        <v>6.29</v>
      </c>
      <c r="J23" s="27">
        <v>6.29</v>
      </c>
      <c r="K23" s="27">
        <v>6.3</v>
      </c>
      <c r="L23" s="27">
        <v>6.29</v>
      </c>
      <c r="M23" s="27">
        <v>6.3</v>
      </c>
      <c r="N23" s="29">
        <v>94645.29</v>
      </c>
      <c r="O23" s="27" t="s">
        <v>157</v>
      </c>
      <c r="P23" s="27">
        <v>0</v>
      </c>
      <c r="Q23" s="27">
        <v>6.4</v>
      </c>
      <c r="R23" s="20">
        <f>IF(OR(A23="",LEN(A23)&lt;&gt;3),"",WORKDAY(WORKDAY(DATEVALUE("15/"&amp;VLOOKUP(LEFT(A23,1),$S$1:$U$13,3,FALSE)&amp;"/"&amp;20&amp;RIGHT(A23,2)),-1,Feriados!$A$2:$A$2000),1,Feriados!$A$2:$A$2000))</f>
        <v>45306</v>
      </c>
      <c r="S23" s="21">
        <f>IF(OR(R23="",R23="Cadastrar ativo na aba Banco de Códigos B3"),"",NETWORKDAYS($B$1,R23-1,Feriados!$A$2:$A$2000))</f>
        <v>227</v>
      </c>
      <c r="T23" s="22">
        <f t="shared" si="0"/>
        <v>6.3</v>
      </c>
    </row>
    <row r="24" spans="1:20" s="9" customFormat="1" x14ac:dyDescent="0.25">
      <c r="A24" s="27" t="s">
        <v>137</v>
      </c>
      <c r="B24" s="28">
        <v>230328</v>
      </c>
      <c r="C24" s="28">
        <v>229645</v>
      </c>
      <c r="D24" s="28">
        <v>32</v>
      </c>
      <c r="E24" s="28">
        <v>3095</v>
      </c>
      <c r="F24" s="28">
        <v>460282202</v>
      </c>
      <c r="G24" s="29">
        <v>91324.64</v>
      </c>
      <c r="H24" s="29">
        <v>91324.64</v>
      </c>
      <c r="I24" s="27">
        <v>6.29</v>
      </c>
      <c r="J24" s="27">
        <v>6.16</v>
      </c>
      <c r="K24" s="27">
        <v>6.29</v>
      </c>
      <c r="L24" s="27">
        <v>6.21</v>
      </c>
      <c r="M24" s="27">
        <v>6.16</v>
      </c>
      <c r="N24" s="29">
        <v>91463.11</v>
      </c>
      <c r="O24" s="27" t="s">
        <v>158</v>
      </c>
      <c r="P24" s="27">
        <v>0</v>
      </c>
      <c r="Q24" s="27">
        <v>6.2</v>
      </c>
      <c r="R24" s="20">
        <f>IF(OR(A24="",LEN(A24)&lt;&gt;3),"",WORKDAY(WORKDAY(DATEVALUE("15/"&amp;VLOOKUP(LEFT(A24,1),$S$1:$U$13,3,FALSE)&amp;"/"&amp;20&amp;RIGHT(A24,2)),-1,Feriados!$A$2:$A$2000),1,Feriados!$A$2:$A$2000))</f>
        <v>45519</v>
      </c>
      <c r="S24" s="21">
        <f>IF(OR(R24="",R24="Cadastrar ativo na aba Banco de Códigos B3"),"",NETWORKDAYS($B$1,R24-1,Feriados!$A$2:$A$2000))</f>
        <v>375</v>
      </c>
      <c r="T24" s="22">
        <f t="shared" si="0"/>
        <v>6.18</v>
      </c>
    </row>
    <row r="25" spans="1:20" s="9" customFormat="1" x14ac:dyDescent="0.25">
      <c r="A25" s="27" t="s">
        <v>78</v>
      </c>
      <c r="B25" s="28">
        <v>0</v>
      </c>
      <c r="C25" s="28">
        <v>0</v>
      </c>
      <c r="D25" s="28">
        <v>0</v>
      </c>
      <c r="E25" s="28">
        <v>0</v>
      </c>
      <c r="F25" s="28">
        <v>0</v>
      </c>
      <c r="G25" s="29">
        <v>89477.5</v>
      </c>
      <c r="H25" s="29">
        <v>89477.5</v>
      </c>
      <c r="I25" s="27">
        <v>0</v>
      </c>
      <c r="J25" s="27">
        <v>0</v>
      </c>
      <c r="K25" s="27">
        <v>0</v>
      </c>
      <c r="L25" s="27">
        <v>0</v>
      </c>
      <c r="M25" s="27">
        <v>0</v>
      </c>
      <c r="N25" s="29">
        <v>89684.05</v>
      </c>
      <c r="O25" s="27" t="s">
        <v>159</v>
      </c>
      <c r="P25" s="27">
        <v>0</v>
      </c>
      <c r="Q25" s="27">
        <v>6</v>
      </c>
      <c r="R25" s="20">
        <f>IF(OR(A25="",LEN(A25)&lt;&gt;3),"",WORKDAY(WORKDAY(DATEVALUE("15/"&amp;VLOOKUP(LEFT(A25,1),$S$1:$U$13,3,FALSE)&amp;"/"&amp;20&amp;RIGHT(A25,2)),-1,Feriados!$A$2:$A$2000),1,Feriados!$A$2:$A$2000))</f>
        <v>45672</v>
      </c>
      <c r="S25" s="21">
        <f>IF(OR(R25="",R25="Cadastrar ativo na aba Banco de Códigos B3"),"",NETWORKDAYS($B$1,R25-1,Feriados!$A$2:$A$2000))</f>
        <v>481</v>
      </c>
      <c r="T25" s="22">
        <f t="shared" si="0"/>
        <v>5.87</v>
      </c>
    </row>
    <row r="26" spans="1:20" s="9" customFormat="1" x14ac:dyDescent="0.25">
      <c r="A26" s="27" t="s">
        <v>138</v>
      </c>
      <c r="B26" s="28">
        <v>225362</v>
      </c>
      <c r="C26" s="28">
        <v>223189</v>
      </c>
      <c r="D26" s="28">
        <v>52</v>
      </c>
      <c r="E26" s="28">
        <v>12204</v>
      </c>
      <c r="F26" s="28">
        <v>1750450872</v>
      </c>
      <c r="G26" s="29">
        <v>87965.5</v>
      </c>
      <c r="H26" s="29">
        <v>87965.5</v>
      </c>
      <c r="I26" s="27">
        <v>5.85</v>
      </c>
      <c r="J26" s="27">
        <v>5.77</v>
      </c>
      <c r="K26" s="27">
        <v>5.91</v>
      </c>
      <c r="L26" s="27">
        <v>5.8</v>
      </c>
      <c r="M26" s="27">
        <v>5.81</v>
      </c>
      <c r="N26" s="29">
        <v>88184.67</v>
      </c>
      <c r="O26" s="27" t="s">
        <v>160</v>
      </c>
      <c r="P26" s="27">
        <v>0</v>
      </c>
      <c r="Q26" s="27">
        <v>0</v>
      </c>
      <c r="R26" s="20">
        <f>IF(OR(A26="",LEN(A26)&lt;&gt;3),"",WORKDAY(WORKDAY(DATEVALUE("15/"&amp;VLOOKUP(LEFT(A26,1),$S$1:$U$13,3,FALSE)&amp;"/"&amp;20&amp;RIGHT(A26,2)),-1,Feriados!$A$2:$A$2000),1,Feriados!$A$2:$A$2000))</f>
        <v>45792</v>
      </c>
      <c r="S26" s="21">
        <f>IF(OR(R26="",R26="Cadastrar ativo na aba Banco de Códigos B3"),"",NETWORKDAYS($B$1,R26-1,Feriados!$A$2:$A$2000))</f>
        <v>562</v>
      </c>
      <c r="T26" s="22">
        <f t="shared" si="0"/>
        <v>5.8</v>
      </c>
    </row>
    <row r="27" spans="1:20" s="9" customFormat="1" x14ac:dyDescent="0.25">
      <c r="A27" s="27" t="s">
        <v>139</v>
      </c>
      <c r="B27" s="28">
        <v>156665</v>
      </c>
      <c r="C27" s="28">
        <v>153693</v>
      </c>
      <c r="D27" s="28">
        <v>40</v>
      </c>
      <c r="E27" s="28">
        <v>8751</v>
      </c>
      <c r="F27" s="28">
        <v>1167172858</v>
      </c>
      <c r="G27" s="29">
        <v>81726.44</v>
      </c>
      <c r="H27" s="29">
        <v>81726.44</v>
      </c>
      <c r="I27" s="27">
        <v>5.83</v>
      </c>
      <c r="J27" s="27">
        <v>5.83</v>
      </c>
      <c r="K27" s="27">
        <v>5.88</v>
      </c>
      <c r="L27" s="27">
        <v>5.85</v>
      </c>
      <c r="M27" s="27">
        <v>5.87</v>
      </c>
      <c r="N27" s="29">
        <v>81912.12</v>
      </c>
      <c r="O27" s="27" t="s">
        <v>161</v>
      </c>
      <c r="P27" s="27">
        <v>5.84</v>
      </c>
      <c r="Q27" s="27">
        <v>0</v>
      </c>
      <c r="R27" s="20">
        <f>IF(OR(A27="",LEN(A27)&lt;&gt;3),"",WORKDAY(WORKDAY(DATEVALUE("15/"&amp;VLOOKUP(LEFT(A27,1),$S$1:$U$13,3,FALSE)&amp;"/"&amp;20&amp;RIGHT(A27,2)),-1,Feriados!$A$2:$A$2000),1,Feriados!$A$2:$A$2000))</f>
        <v>46251</v>
      </c>
      <c r="S27" s="21">
        <f>IF(OR(R27="",R27="Cadastrar ativo na aba Banco de Códigos B3"),"",NETWORKDAYS($B$1,R27-1,Feriados!$A$2:$A$2000))</f>
        <v>880</v>
      </c>
      <c r="T27" s="22">
        <f t="shared" si="0"/>
        <v>5.88</v>
      </c>
    </row>
    <row r="28" spans="1:20" s="9" customFormat="1" x14ac:dyDescent="0.25">
      <c r="A28" s="27" t="s">
        <v>140</v>
      </c>
      <c r="B28" s="28">
        <v>118271</v>
      </c>
      <c r="C28" s="28">
        <v>118334</v>
      </c>
      <c r="D28" s="28">
        <v>24</v>
      </c>
      <c r="E28" s="28">
        <v>390</v>
      </c>
      <c r="F28" s="28">
        <v>49800374</v>
      </c>
      <c r="G28" s="29">
        <v>78344.63</v>
      </c>
      <c r="H28" s="29">
        <v>78344.63</v>
      </c>
      <c r="I28" s="27">
        <v>5.93</v>
      </c>
      <c r="J28" s="27">
        <v>5.89</v>
      </c>
      <c r="K28" s="27">
        <v>5.93</v>
      </c>
      <c r="L28" s="27">
        <v>5.89</v>
      </c>
      <c r="M28" s="27">
        <v>5.89</v>
      </c>
      <c r="N28" s="29">
        <v>78498.19</v>
      </c>
      <c r="O28" s="27" t="s">
        <v>162</v>
      </c>
      <c r="P28" s="27">
        <v>0</v>
      </c>
      <c r="Q28" s="27">
        <v>0</v>
      </c>
      <c r="R28" s="20">
        <f>IF(OR(A28="",LEN(A28)&lt;&gt;3),"",WORKDAY(WORKDAY(DATEVALUE("15/"&amp;VLOOKUP(LEFT(A28,1),$S$1:$U$13,3,FALSE)&amp;"/"&amp;20&amp;RIGHT(A28,2)),-1,Feriados!$A$2:$A$2000),1,Feriados!$A$2:$A$2000))</f>
        <v>46524</v>
      </c>
      <c r="S28" s="21">
        <f>IF(OR(R28="",R28="Cadastrar ativo na aba Banco de Códigos B3"),"",NETWORKDAYS($B$1,R28-1,Feriados!$A$2:$A$2000))</f>
        <v>1066</v>
      </c>
      <c r="T28" s="22">
        <f t="shared" si="0"/>
        <v>5.89</v>
      </c>
    </row>
    <row r="29" spans="1:20" s="9" customFormat="1" x14ac:dyDescent="0.25">
      <c r="A29" s="27" t="s">
        <v>141</v>
      </c>
      <c r="B29" s="28">
        <v>137372</v>
      </c>
      <c r="C29" s="28">
        <v>139105</v>
      </c>
      <c r="D29" s="28">
        <v>47</v>
      </c>
      <c r="E29" s="28">
        <v>12582</v>
      </c>
      <c r="F29" s="28">
        <v>1489801232</v>
      </c>
      <c r="G29" s="29">
        <v>72591.61</v>
      </c>
      <c r="H29" s="29">
        <v>72591.61</v>
      </c>
      <c r="I29" s="27">
        <v>5.9</v>
      </c>
      <c r="J29" s="27">
        <v>5.9</v>
      </c>
      <c r="K29" s="27">
        <v>6.02</v>
      </c>
      <c r="L29" s="27">
        <v>5.96</v>
      </c>
      <c r="M29" s="27">
        <v>5.99</v>
      </c>
      <c r="N29" s="29">
        <v>72664.09</v>
      </c>
      <c r="O29" s="27" t="s">
        <v>163</v>
      </c>
      <c r="P29" s="27">
        <v>5.9</v>
      </c>
      <c r="Q29" s="27">
        <v>0</v>
      </c>
      <c r="R29" s="20">
        <f>IF(OR(A29="",LEN(A29)&lt;&gt;3),"",WORKDAY(WORKDAY(DATEVALUE("15/"&amp;VLOOKUP(LEFT(A29,1),$S$1:$U$13,3,FALSE)&amp;"/"&amp;20&amp;RIGHT(A29,2)),-1,Feriados!$A$2:$A$2000),1,Feriados!$A$2:$A$2000))</f>
        <v>46980</v>
      </c>
      <c r="S29" s="21">
        <f>IF(OR(R29="",R29="Cadastrar ativo na aba Banco de Códigos B3"),"",NETWORKDAYS($B$1,R29-1,Feriados!$A$2:$A$2000))</f>
        <v>1381</v>
      </c>
      <c r="T29" s="22">
        <f t="shared" si="0"/>
        <v>6</v>
      </c>
    </row>
    <row r="30" spans="1:20" s="9" customFormat="1" x14ac:dyDescent="0.25">
      <c r="A30" s="27" t="s">
        <v>142</v>
      </c>
      <c r="B30" s="28">
        <v>129264</v>
      </c>
      <c r="C30" s="28">
        <v>126764</v>
      </c>
      <c r="D30" s="28">
        <v>30</v>
      </c>
      <c r="E30" s="28">
        <v>3712</v>
      </c>
      <c r="F30" s="28">
        <v>390988921</v>
      </c>
      <c r="G30" s="29">
        <v>64641.85</v>
      </c>
      <c r="H30" s="29">
        <v>64641.85</v>
      </c>
      <c r="I30" s="27">
        <v>6.02</v>
      </c>
      <c r="J30" s="27">
        <v>5.98</v>
      </c>
      <c r="K30" s="27">
        <v>6.02</v>
      </c>
      <c r="L30" s="27">
        <v>5.99</v>
      </c>
      <c r="M30" s="27">
        <v>5.98</v>
      </c>
      <c r="N30" s="29">
        <v>64639.53</v>
      </c>
      <c r="O30" s="27" t="s">
        <v>164</v>
      </c>
      <c r="P30" s="27">
        <v>0</v>
      </c>
      <c r="Q30" s="27">
        <v>0</v>
      </c>
      <c r="R30" s="20">
        <f>IF(OR(A30="",LEN(A30)&lt;&gt;3),"",WORKDAY(WORKDAY(DATEVALUE("15/"&amp;VLOOKUP(LEFT(A30,1),$S$1:$U$13,3,FALSE)&amp;"/"&amp;20&amp;RIGHT(A30,2)),-1,Feriados!$A$2:$A$2000),1,Feriados!$A$2:$A$2000))</f>
        <v>47710</v>
      </c>
      <c r="S30" s="21">
        <f>IF(OR(R30="",R30="Cadastrar ativo na aba Banco de Códigos B3"),"",NETWORKDAYS($B$1,R30-1,Feriados!$A$2:$A$2000))</f>
        <v>1881</v>
      </c>
      <c r="T30" s="22">
        <f t="shared" si="0"/>
        <v>6.02</v>
      </c>
    </row>
    <row r="31" spans="1:20" s="9" customFormat="1" x14ac:dyDescent="0.25">
      <c r="A31" s="27" t="s">
        <v>143</v>
      </c>
      <c r="B31" s="28">
        <v>49745</v>
      </c>
      <c r="C31" s="28">
        <v>49737</v>
      </c>
      <c r="D31" s="28">
        <v>9</v>
      </c>
      <c r="E31" s="28">
        <v>185</v>
      </c>
      <c r="F31" s="28">
        <v>17189889</v>
      </c>
      <c r="G31" s="29">
        <v>57073.23</v>
      </c>
      <c r="H31" s="29">
        <v>57073.23</v>
      </c>
      <c r="I31" s="27">
        <v>6.1</v>
      </c>
      <c r="J31" s="27">
        <v>6.09</v>
      </c>
      <c r="K31" s="27">
        <v>6.1</v>
      </c>
      <c r="L31" s="27">
        <v>6.09</v>
      </c>
      <c r="M31" s="27">
        <v>6.09</v>
      </c>
      <c r="N31" s="29">
        <v>57122.33</v>
      </c>
      <c r="O31" s="27" t="s">
        <v>165</v>
      </c>
      <c r="P31" s="27">
        <v>0</v>
      </c>
      <c r="Q31" s="27">
        <v>0</v>
      </c>
      <c r="R31" s="20">
        <f>IF(OR(A31="",LEN(A31)&lt;&gt;3),"",WORKDAY(WORKDAY(DATEVALUE("15/"&amp;VLOOKUP(LEFT(A31,1),$S$1:$U$13,3,FALSE)&amp;"/"&amp;20&amp;RIGHT(A31,2)),-1,Feriados!$A$2:$A$2000),1,Feriados!$A$2:$A$2000))</f>
        <v>48442</v>
      </c>
      <c r="S31" s="21">
        <f>IF(OR(R31="",R31="Cadastrar ativo na aba Banco de Códigos B3"),"",NETWORKDAYS($B$1,R31-1,Feriados!$A$2:$A$2000))</f>
        <v>2387</v>
      </c>
      <c r="T31" s="22">
        <f t="shared" si="0"/>
        <v>6.09</v>
      </c>
    </row>
    <row r="32" spans="1:20" s="9" customFormat="1" x14ac:dyDescent="0.25">
      <c r="A32" s="27" t="s">
        <v>144</v>
      </c>
      <c r="B32" s="28">
        <v>3165</v>
      </c>
      <c r="C32" s="28">
        <v>3165</v>
      </c>
      <c r="D32" s="28">
        <v>7</v>
      </c>
      <c r="E32" s="28">
        <v>2380</v>
      </c>
      <c r="F32" s="28">
        <v>210500099</v>
      </c>
      <c r="G32" s="29">
        <v>54409.82</v>
      </c>
      <c r="H32" s="29">
        <v>54409.82</v>
      </c>
      <c r="I32" s="27">
        <v>6.15</v>
      </c>
      <c r="J32" s="27">
        <v>6.14</v>
      </c>
      <c r="K32" s="27">
        <v>6.16</v>
      </c>
      <c r="L32" s="27">
        <v>6.14</v>
      </c>
      <c r="M32" s="27">
        <v>6.16</v>
      </c>
      <c r="N32" s="29">
        <v>54512.94</v>
      </c>
      <c r="O32" s="27" t="s">
        <v>166</v>
      </c>
      <c r="P32" s="27">
        <v>0</v>
      </c>
      <c r="Q32" s="27">
        <v>0</v>
      </c>
      <c r="R32" s="20">
        <f>IF(OR(A32="",LEN(A32)&lt;&gt;3),"",WORKDAY(WORKDAY(DATEVALUE("15/"&amp;VLOOKUP(LEFT(A32,1),$S$1:$U$13,3,FALSE)&amp;"/"&amp;20&amp;RIGHT(A32,2)),-1,Feriados!$A$2:$A$2000),1,Feriados!$A$2:$A$2000))</f>
        <v>48715</v>
      </c>
      <c r="S32" s="21">
        <f>IF(OR(R32="",R32="Cadastrar ativo na aba Banco de Códigos B3"),"",NETWORKDAYS($B$1,R32-1,Feriados!$A$2:$A$2000))</f>
        <v>2574</v>
      </c>
      <c r="T32" s="22">
        <f t="shared" si="0"/>
        <v>6.12</v>
      </c>
    </row>
    <row r="33" spans="1:20" s="9" customFormat="1" x14ac:dyDescent="0.25">
      <c r="A33" s="27" t="s">
        <v>145</v>
      </c>
      <c r="B33" s="28">
        <v>74060</v>
      </c>
      <c r="C33" s="28">
        <v>74290</v>
      </c>
      <c r="D33" s="28">
        <v>17</v>
      </c>
      <c r="E33" s="28">
        <v>1800</v>
      </c>
      <c r="F33" s="28">
        <v>140870364</v>
      </c>
      <c r="G33" s="29">
        <v>48065.56</v>
      </c>
      <c r="H33" s="29">
        <v>48065.56</v>
      </c>
      <c r="I33" s="27">
        <v>6.18</v>
      </c>
      <c r="J33" s="27">
        <v>6.18</v>
      </c>
      <c r="K33" s="27">
        <v>6.19</v>
      </c>
      <c r="L33" s="27">
        <v>6.18</v>
      </c>
      <c r="M33" s="27">
        <v>6.19</v>
      </c>
      <c r="N33" s="29">
        <v>48064.15</v>
      </c>
      <c r="O33" s="27" t="s">
        <v>167</v>
      </c>
      <c r="P33" s="27">
        <v>0</v>
      </c>
      <c r="Q33" s="27">
        <v>0</v>
      </c>
      <c r="R33" s="20">
        <f>IF(OR(A33="",LEN(A33)&lt;&gt;3),"",WORKDAY(WORKDAY(DATEVALUE("15/"&amp;VLOOKUP(LEFT(A33,1),$S$1:$U$13,3,FALSE)&amp;"/"&amp;20&amp;RIGHT(A33,2)),-1,Feriados!$A$2:$A$2000),1,Feriados!$A$2:$A$2000))</f>
        <v>49444</v>
      </c>
      <c r="S33" s="21">
        <f>IF(OR(R33="",R33="Cadastrar ativo na aba Banco de Códigos B3"),"",NETWORKDAYS($B$1,R33-1,Feriados!$A$2:$A$2000))</f>
        <v>3074</v>
      </c>
      <c r="T33" s="22">
        <f t="shared" si="0"/>
        <v>6.19</v>
      </c>
    </row>
    <row r="34" spans="1:20" s="9" customFormat="1" x14ac:dyDescent="0.25">
      <c r="A34" s="27" t="s">
        <v>146</v>
      </c>
      <c r="B34" s="28">
        <v>17769</v>
      </c>
      <c r="C34" s="28">
        <v>17769</v>
      </c>
      <c r="D34" s="28">
        <v>2</v>
      </c>
      <c r="E34" s="28">
        <v>445</v>
      </c>
      <c r="F34" s="28">
        <v>25347929</v>
      </c>
      <c r="G34" s="29">
        <v>34902.620000000003</v>
      </c>
      <c r="H34" s="29">
        <v>34902.620000000003</v>
      </c>
      <c r="I34" s="27">
        <v>6.2</v>
      </c>
      <c r="J34" s="27">
        <v>6.2</v>
      </c>
      <c r="K34" s="27">
        <v>6.2</v>
      </c>
      <c r="L34" s="27">
        <v>6.2</v>
      </c>
      <c r="M34" s="27">
        <v>6.2</v>
      </c>
      <c r="N34" s="29">
        <v>35016.47</v>
      </c>
      <c r="O34" s="27" t="s">
        <v>168</v>
      </c>
      <c r="P34" s="27">
        <v>0</v>
      </c>
      <c r="Q34" s="27">
        <v>0</v>
      </c>
      <c r="R34" s="20">
        <f>IF(OR(A34="",LEN(A34)&lt;&gt;3),"",WORKDAY(WORKDAY(DATEVALUE("15/"&amp;VLOOKUP(LEFT(A34,1),$S$1:$U$13,3,FALSE)&amp;"/"&amp;20&amp;RIGHT(A34,2)),-1,Feriados!$A$2:$A$2000),1,Feriados!$A$2:$A$2000))</f>
        <v>51363</v>
      </c>
      <c r="S34" s="21">
        <f>IF(OR(R34="",R34="Cadastrar ativo na aba Banco de Códigos B3"),"",NETWORKDAYS($B$1,R34-1,Feriados!$A$2:$A$2000))</f>
        <v>4396</v>
      </c>
      <c r="T34" s="22">
        <f t="shared" si="0"/>
        <v>6.2</v>
      </c>
    </row>
    <row r="35" spans="1:20" s="9" customFormat="1" x14ac:dyDescent="0.25">
      <c r="A35" s="27" t="s">
        <v>147</v>
      </c>
      <c r="B35" s="28">
        <v>670</v>
      </c>
      <c r="C35" s="28">
        <v>670</v>
      </c>
      <c r="D35" s="28">
        <v>0</v>
      </c>
      <c r="E35" s="28">
        <v>0</v>
      </c>
      <c r="F35" s="28">
        <v>0</v>
      </c>
      <c r="G35" s="29">
        <v>26796.17</v>
      </c>
      <c r="H35" s="29">
        <v>26796.17</v>
      </c>
      <c r="I35" s="27">
        <v>0</v>
      </c>
      <c r="J35" s="27">
        <v>0</v>
      </c>
      <c r="K35" s="27">
        <v>0</v>
      </c>
      <c r="L35" s="27">
        <v>0</v>
      </c>
      <c r="M35" s="27">
        <v>0</v>
      </c>
      <c r="N35" s="29">
        <v>26907.52</v>
      </c>
      <c r="O35" s="27" t="s">
        <v>169</v>
      </c>
      <c r="P35" s="27">
        <v>0</v>
      </c>
      <c r="Q35" s="27">
        <v>0</v>
      </c>
      <c r="R35" s="20">
        <f>IF(OR(A35="",LEN(A35)&lt;&gt;3),"",WORKDAY(WORKDAY(DATEVALUE("15/"&amp;VLOOKUP(LEFT(A35,1),$S$1:$U$13,3,FALSE)&amp;"/"&amp;20&amp;RIGHT(A35,2)),-1,Feriados!$A$2:$A$2000),1,Feriados!$A$2:$A$2000))</f>
        <v>53097</v>
      </c>
      <c r="S35" s="21">
        <f>IF(OR(R35="",R35="Cadastrar ativo na aba Banco de Códigos B3"),"",NETWORKDAYS($B$1,R35-1,Feriados!$A$2:$A$2000))</f>
        <v>5587</v>
      </c>
      <c r="T35" s="22">
        <f t="shared" si="0"/>
        <v>6.1</v>
      </c>
    </row>
    <row r="36" spans="1:20" s="9" customFormat="1" x14ac:dyDescent="0.25">
      <c r="A36" s="27" t="s">
        <v>148</v>
      </c>
      <c r="B36" s="28">
        <v>0</v>
      </c>
      <c r="C36" s="28">
        <v>0</v>
      </c>
      <c r="D36" s="28">
        <v>0</v>
      </c>
      <c r="E36" s="28">
        <v>0</v>
      </c>
      <c r="F36" s="28">
        <v>0</v>
      </c>
      <c r="G36" s="29">
        <v>19585.07</v>
      </c>
      <c r="H36" s="29">
        <v>19585.07</v>
      </c>
      <c r="I36" s="27">
        <v>0</v>
      </c>
      <c r="J36" s="27">
        <v>0</v>
      </c>
      <c r="K36" s="27">
        <v>0</v>
      </c>
      <c r="L36" s="27">
        <v>0</v>
      </c>
      <c r="M36" s="27">
        <v>0</v>
      </c>
      <c r="N36" s="29">
        <v>19635.080000000002</v>
      </c>
      <c r="O36" s="27" t="s">
        <v>170</v>
      </c>
      <c r="P36" s="27">
        <v>0</v>
      </c>
      <c r="Q36" s="27">
        <v>0</v>
      </c>
      <c r="R36" s="20">
        <f>IF(OR(A36="",LEN(A36)&lt;&gt;3),"",WORKDAY(WORKDAY(DATEVALUE("15/"&amp;VLOOKUP(LEFT(A36,1),$S$1:$U$13,3,FALSE)&amp;"/"&amp;20&amp;RIGHT(A36,2)),-1,Feriados!$A$2:$A$2000),1,Feriados!$A$2:$A$2000))</f>
        <v>55015</v>
      </c>
      <c r="S36" s="21">
        <f>IF(OR(R36="",R36="Cadastrar ativo na aba Banco de Códigos B3"),"",NETWORKDAYS($B$1,R36-1,Feriados!$A$2:$A$2000))</f>
        <v>6906</v>
      </c>
      <c r="T36" s="22">
        <f t="shared" si="0"/>
        <v>6.12</v>
      </c>
    </row>
    <row r="37" spans="1:20" s="9" customFormat="1" x14ac:dyDescent="0.25">
      <c r="A37" s="27" t="s">
        <v>149</v>
      </c>
      <c r="B37" s="28">
        <v>1295</v>
      </c>
      <c r="C37" s="28">
        <v>1295</v>
      </c>
      <c r="D37" s="28">
        <v>0</v>
      </c>
      <c r="E37" s="28">
        <v>0</v>
      </c>
      <c r="F37" s="28">
        <v>0</v>
      </c>
      <c r="G37" s="29">
        <v>15186.12</v>
      </c>
      <c r="H37" s="29">
        <v>15186.12</v>
      </c>
      <c r="I37" s="27">
        <v>0</v>
      </c>
      <c r="J37" s="27">
        <v>0</v>
      </c>
      <c r="K37" s="27">
        <v>0</v>
      </c>
      <c r="L37" s="27">
        <v>0</v>
      </c>
      <c r="M37" s="27">
        <v>0</v>
      </c>
      <c r="N37" s="29">
        <v>15277.92</v>
      </c>
      <c r="O37" s="27" t="s">
        <v>171</v>
      </c>
      <c r="P37" s="27">
        <v>0</v>
      </c>
      <c r="Q37" s="27">
        <v>0</v>
      </c>
      <c r="R37" s="20">
        <f>IF(OR(A37="",LEN(A37)&lt;&gt;3),"",WORKDAY(WORKDAY(DATEVALUE("15/"&amp;VLOOKUP(LEFT(A37,1),$S$1:$U$13,3,FALSE)&amp;"/"&amp;20&amp;RIGHT(A37,2)),-1,Feriados!$A$2:$A$2000),1,Feriados!$A$2:$A$2000))</f>
        <v>56751</v>
      </c>
      <c r="S37" s="21">
        <f>IF(OR(R37="",R37="Cadastrar ativo na aba Banco de Códigos B3"),"",NETWORKDAYS($B$1,R37-1,Feriados!$A$2:$A$2000))</f>
        <v>8099</v>
      </c>
      <c r="T37" s="22">
        <f t="shared" si="0"/>
        <v>6.02</v>
      </c>
    </row>
    <row r="38" spans="1:20" s="9" customFormat="1" x14ac:dyDescent="0.25">
      <c r="A38" s="27" t="s">
        <v>150</v>
      </c>
      <c r="B38" s="28">
        <v>0</v>
      </c>
      <c r="C38" s="28">
        <v>0</v>
      </c>
      <c r="D38" s="28">
        <v>0</v>
      </c>
      <c r="E38" s="28">
        <v>0</v>
      </c>
      <c r="F38" s="28">
        <v>0</v>
      </c>
      <c r="G38" s="29">
        <v>11127.61</v>
      </c>
      <c r="H38" s="29">
        <v>11127.61</v>
      </c>
      <c r="I38" s="27">
        <v>0</v>
      </c>
      <c r="J38" s="27">
        <v>0</v>
      </c>
      <c r="K38" s="27">
        <v>0</v>
      </c>
      <c r="L38" s="27">
        <v>0</v>
      </c>
      <c r="M38" s="27">
        <v>0</v>
      </c>
      <c r="N38" s="29">
        <v>11205.95</v>
      </c>
      <c r="O38" s="27" t="s">
        <v>172</v>
      </c>
      <c r="P38" s="27">
        <v>0</v>
      </c>
      <c r="Q38" s="27">
        <v>0</v>
      </c>
      <c r="R38" s="20">
        <f>IF(OR(A38="",LEN(A38)&lt;&gt;3),"",WORKDAY(WORKDAY(DATEVALUE("15/"&amp;VLOOKUP(LEFT(A38,1),$S$1:$U$13,3,FALSE)&amp;"/"&amp;20&amp;RIGHT(A38,2)),-1,Feriados!$A$2:$A$2000),1,Feriados!$A$2:$A$2000))</f>
        <v>58669</v>
      </c>
      <c r="S38" s="21">
        <f>IF(OR(R38="",R38="Cadastrar ativo na aba Banco de Códigos B3"),"",NETWORKDAYS($B$1,R38-1,Feriados!$A$2:$A$2000))</f>
        <v>9420</v>
      </c>
      <c r="T38" s="22">
        <f t="shared" si="0"/>
        <v>6.03</v>
      </c>
    </row>
    <row r="39" spans="1:20" s="9" customFormat="1" x14ac:dyDescent="0.25">
      <c r="A39" s="27"/>
      <c r="B39" s="28"/>
      <c r="C39" s="28"/>
      <c r="D39" s="28"/>
      <c r="E39" s="28"/>
      <c r="F39" s="28"/>
      <c r="G39" s="29"/>
      <c r="H39" s="29"/>
      <c r="I39" s="27"/>
      <c r="J39" s="27"/>
      <c r="K39" s="27"/>
      <c r="L39" s="27"/>
      <c r="M39" s="27"/>
      <c r="N39" s="29"/>
      <c r="O39" s="27"/>
      <c r="P39" s="27"/>
      <c r="Q39" s="27"/>
      <c r="R39" s="20" t="str">
        <f>IF(OR(A39="",LEN(A39)&lt;&gt;3),"",WORKDAY(WORKDAY(DATEVALUE("15/"&amp;VLOOKUP(LEFT(A39,1),$S$1:$U$13,3,FALSE)&amp;"/"&amp;20&amp;RIGHT(A39,2)),-1,Feriados!$A$2:$A$2000),1,Feriados!$A$2:$A$2000))</f>
        <v/>
      </c>
      <c r="S39" s="21" t="str">
        <f>IF(OR(R39="",R39="Cadastrar ativo na aba Banco de Códigos B3"),"",NETWORKDAYS($B$1,R39-1,Feriados!$A$2:$A$2000))</f>
        <v/>
      </c>
      <c r="T39" s="22" t="str">
        <f t="shared" si="0"/>
        <v/>
      </c>
    </row>
    <row r="40" spans="1:20" s="9" customFormat="1" x14ac:dyDescent="0.25">
      <c r="A40" s="25" t="s">
        <v>173</v>
      </c>
      <c r="B40" s="28"/>
      <c r="C40" s="28"/>
      <c r="D40" s="28"/>
      <c r="E40" s="28"/>
      <c r="F40" s="28"/>
      <c r="G40" s="29"/>
      <c r="H40" s="29"/>
      <c r="I40" s="27"/>
      <c r="J40" s="27"/>
      <c r="K40" s="27"/>
      <c r="L40" s="27"/>
      <c r="M40" s="27"/>
      <c r="N40" s="29"/>
      <c r="O40" s="27"/>
      <c r="P40" s="27"/>
      <c r="Q40" s="27"/>
      <c r="R40" s="20" t="str">
        <f>IF(OR(A40="",LEN(A40)&lt;&gt;3),"",WORKDAY(WORKDAY(DATEVALUE("15/"&amp;VLOOKUP(LEFT(A40,1),$S$1:$U$13,3,FALSE)&amp;"/"&amp;20&amp;RIGHT(A40,2)),-1,Feriados!$A$2:$A$2000),1,Feriados!$A$2:$A$2000))</f>
        <v/>
      </c>
      <c r="S40" s="21" t="str">
        <f>IF(OR(R40="",R40="Cadastrar ativo na aba Banco de Códigos B3"),"",NETWORKDAYS($B$1,R40-1,Feriados!$A$2:$A$2000))</f>
        <v/>
      </c>
      <c r="T40" s="22" t="str">
        <f t="shared" si="0"/>
        <v/>
      </c>
    </row>
    <row r="41" spans="1:20" s="9" customFormat="1" x14ac:dyDescent="0.25">
      <c r="A41" s="25"/>
      <c r="B41" s="28"/>
      <c r="C41" s="28"/>
      <c r="D41" s="28"/>
      <c r="E41" s="28"/>
      <c r="F41" s="28"/>
      <c r="G41" s="29"/>
      <c r="H41" s="29"/>
      <c r="I41" s="27"/>
      <c r="J41" s="27"/>
      <c r="K41" s="27"/>
      <c r="L41" s="27"/>
      <c r="M41" s="27"/>
      <c r="N41" s="29"/>
      <c r="O41" s="27"/>
      <c r="P41" s="27"/>
      <c r="Q41" s="27"/>
      <c r="R41" s="20" t="str">
        <f>IF(OR(A41="",LEN(A41)&lt;&gt;3),"",WORKDAY(WORKDAY(DATEVALUE("15/"&amp;VLOOKUP(LEFT(A41,1),$S$1:$U$13,3,FALSE)&amp;"/"&amp;20&amp;RIGHT(A41,2)),-1,Feriados!$A$2:$A$2000),1,Feriados!$A$2:$A$2000))</f>
        <v/>
      </c>
      <c r="S41" s="21" t="str">
        <f>IF(OR(R41="",R41="Cadastrar ativo na aba Banco de Códigos B3"),"",NETWORKDAYS($B$1,R41-1,Feriados!$A$2:$A$2000))</f>
        <v/>
      </c>
      <c r="T41" s="22" t="str">
        <f t="shared" si="0"/>
        <v/>
      </c>
    </row>
    <row r="42" spans="1:20" s="9" customFormat="1" x14ac:dyDescent="0.25">
      <c r="A42" s="25" t="s">
        <v>174</v>
      </c>
      <c r="B42" s="28"/>
      <c r="C42" s="28"/>
      <c r="D42" s="28"/>
      <c r="E42" s="28"/>
      <c r="F42" s="28"/>
      <c r="G42" s="29"/>
      <c r="H42" s="29"/>
      <c r="I42" s="27"/>
      <c r="J42" s="27"/>
      <c r="K42" s="27"/>
      <c r="L42" s="27"/>
      <c r="M42" s="27"/>
      <c r="N42" s="29"/>
      <c r="O42" s="27"/>
      <c r="P42" s="27"/>
      <c r="Q42" s="27"/>
      <c r="R42" s="20" t="str">
        <f>IF(OR(A42="",LEN(A42)&lt;&gt;3),"",WORKDAY(WORKDAY(DATEVALUE("15/"&amp;VLOOKUP(LEFT(A42,1),$S$1:$U$13,3,FALSE)&amp;"/"&amp;20&amp;RIGHT(A42,2)),-1,Feriados!$A$2:$A$2000),1,Feriados!$A$2:$A$2000))</f>
        <v/>
      </c>
      <c r="S42" s="21" t="str">
        <f>IF(OR(R42="",R42="Cadastrar ativo na aba Banco de Códigos B3"),"",NETWORKDAYS($B$1,R42-1,Feriados!$A$2:$A$2000))</f>
        <v/>
      </c>
      <c r="T42" s="22" t="str">
        <f t="shared" si="0"/>
        <v/>
      </c>
    </row>
    <row r="43" spans="1:20" s="9" customFormat="1" ht="15.6" x14ac:dyDescent="0.25">
      <c r="A43" s="32"/>
      <c r="B43" s="28"/>
      <c r="C43" s="28"/>
      <c r="D43" s="27"/>
      <c r="E43" s="28"/>
      <c r="F43" s="28"/>
      <c r="G43" s="29"/>
      <c r="H43" s="29"/>
      <c r="I43" s="27"/>
      <c r="J43" s="27"/>
      <c r="K43" s="27"/>
      <c r="L43" s="27"/>
      <c r="M43" s="27"/>
      <c r="N43" s="29"/>
      <c r="O43" s="27"/>
      <c r="P43" s="27"/>
      <c r="Q43" s="27"/>
      <c r="R43" s="20" t="str">
        <f>IF(OR(A43="",LEN(A43)&lt;&gt;3),"",WORKDAY(WORKDAY(DATEVALUE("15/"&amp;VLOOKUP(LEFT(A43,1),$S$1:$U$13,3,FALSE)&amp;"/"&amp;20&amp;RIGHT(A43,2)),-1,Feriados!$A$2:$A$2000),1,Feriados!$A$2:$A$2000))</f>
        <v/>
      </c>
      <c r="S43" s="21" t="str">
        <f>IF(OR(R43="",R43="Cadastrar ativo na aba Banco de Códigos B3"),"",NETWORKDAYS($B$1,R43-1,Feriados!$A$2:$A$2000))</f>
        <v/>
      </c>
      <c r="T43" s="22" t="str">
        <f t="shared" si="0"/>
        <v/>
      </c>
    </row>
    <row r="44" spans="1:20" s="9" customFormat="1" x14ac:dyDescent="0.25">
      <c r="A44" s="25" t="s">
        <v>98</v>
      </c>
      <c r="B44" s="28"/>
      <c r="C44" s="28"/>
      <c r="D44" s="28"/>
      <c r="E44" s="28"/>
      <c r="F44" s="28"/>
      <c r="G44" s="29"/>
      <c r="H44" s="29"/>
      <c r="I44" s="27"/>
      <c r="J44" s="27"/>
      <c r="K44" s="27"/>
      <c r="L44" s="27"/>
      <c r="M44" s="27"/>
      <c r="N44" s="29"/>
      <c r="O44" s="27"/>
      <c r="P44" s="27"/>
      <c r="Q44" s="27"/>
      <c r="R44" s="20" t="str">
        <f>IF(OR(A44="",LEN(A44)&lt;&gt;3),"",WORKDAY(WORKDAY(DATEVALUE("15/"&amp;VLOOKUP(LEFT(A44,1),$S$1:$U$13,3,FALSE)&amp;"/"&amp;20&amp;RIGHT(A44,2)),-1,Feriados!$A$2:$A$2000),1,Feriados!$A$2:$A$2000))</f>
        <v/>
      </c>
      <c r="S44" s="21" t="str">
        <f>IF(OR(R44="",R44="Cadastrar ativo na aba Banco de Códigos B3"),"",NETWORKDAYS($B$1,R44-1,Feriados!$A$2:$A$2000))</f>
        <v/>
      </c>
      <c r="T44" s="22" t="str">
        <f t="shared" si="0"/>
        <v/>
      </c>
    </row>
    <row r="45" spans="1:20" s="9" customFormat="1" ht="15.6" x14ac:dyDescent="0.25">
      <c r="A45" s="32"/>
      <c r="B45" s="28"/>
      <c r="C45" s="28"/>
      <c r="D45" s="28"/>
      <c r="E45" s="28"/>
      <c r="F45" s="28"/>
      <c r="G45" s="29"/>
      <c r="H45" s="29"/>
      <c r="I45" s="27"/>
      <c r="J45" s="27"/>
      <c r="K45" s="27"/>
      <c r="L45" s="27"/>
      <c r="M45" s="27"/>
      <c r="N45" s="29"/>
      <c r="O45" s="27"/>
      <c r="P45" s="27"/>
      <c r="Q45" s="27"/>
      <c r="R45" s="20" t="str">
        <f>IF(OR(A45="",LEN(A45)&lt;&gt;3),"",WORKDAY(WORKDAY(DATEVALUE("15/"&amp;VLOOKUP(LEFT(A45,1),$S$1:$U$13,3,FALSE)&amp;"/"&amp;20&amp;RIGHT(A45,2)),-1,Feriados!$A$2:$A$2000),1,Feriados!$A$2:$A$2000))</f>
        <v/>
      </c>
      <c r="S45" s="21" t="str">
        <f>IF(OR(R45="",R45="Cadastrar ativo na aba Banco de Códigos B3"),"",NETWORKDAYS($B$1,R45-1,Feriados!$A$2:$A$2000))</f>
        <v/>
      </c>
      <c r="T45" s="22" t="str">
        <f t="shared" si="0"/>
        <v/>
      </c>
    </row>
    <row r="46" spans="1:20" s="9" customFormat="1" x14ac:dyDescent="0.25">
      <c r="A46" s="25" t="s">
        <v>175</v>
      </c>
      <c r="B46" s="28"/>
      <c r="C46" s="28"/>
      <c r="D46" s="28"/>
      <c r="E46" s="28"/>
      <c r="F46" s="28"/>
      <c r="G46" s="29"/>
      <c r="H46" s="29"/>
      <c r="I46" s="27"/>
      <c r="J46" s="27"/>
      <c r="K46" s="27"/>
      <c r="L46" s="27"/>
      <c r="M46" s="27"/>
      <c r="N46" s="29"/>
      <c r="O46" s="27"/>
      <c r="P46" s="27"/>
      <c r="Q46" s="27"/>
      <c r="R46" s="20" t="str">
        <f>IF(OR(A46="",LEN(A46)&lt;&gt;3),"",WORKDAY(WORKDAY(DATEVALUE("15/"&amp;VLOOKUP(LEFT(A46,1),$S$1:$U$13,3,FALSE)&amp;"/"&amp;20&amp;RIGHT(A46,2)),-1,Feriados!$A$2:$A$2000),1,Feriados!$A$2:$A$2000))</f>
        <v/>
      </c>
      <c r="S46" s="21" t="str">
        <f>IF(OR(R46="",R46="Cadastrar ativo na aba Banco de Códigos B3"),"",NETWORKDAYS($B$1,R46-1,Feriados!$A$2:$A$2000))</f>
        <v/>
      </c>
      <c r="T46" s="22" t="str">
        <f t="shared" si="0"/>
        <v/>
      </c>
    </row>
    <row r="47" spans="1:20" s="9" customFormat="1" ht="15.6" x14ac:dyDescent="0.25">
      <c r="A47" s="32"/>
      <c r="B47" s="28"/>
      <c r="C47" s="28"/>
      <c r="D47" s="28"/>
      <c r="E47" s="28"/>
      <c r="F47" s="28"/>
      <c r="G47" s="29"/>
      <c r="H47" s="29"/>
      <c r="I47" s="27"/>
      <c r="J47" s="27"/>
      <c r="K47" s="27"/>
      <c r="L47" s="27"/>
      <c r="M47" s="27"/>
      <c r="N47" s="29"/>
      <c r="O47" s="27"/>
      <c r="P47" s="27"/>
      <c r="Q47" s="27"/>
      <c r="R47" s="20" t="str">
        <f>IF(OR(A47="",LEN(A47)&lt;&gt;3),"",WORKDAY(WORKDAY(DATEVALUE("15/"&amp;VLOOKUP(LEFT(A47,1),$S$1:$U$13,3,FALSE)&amp;"/"&amp;20&amp;RIGHT(A47,2)),-1,Feriados!$A$2:$A$2000),1,Feriados!$A$2:$A$2000))</f>
        <v/>
      </c>
      <c r="S47" s="21" t="str">
        <f>IF(OR(R47="",R47="Cadastrar ativo na aba Banco de Códigos B3"),"",NETWORKDAYS($B$1,R47-1,Feriados!$A$2:$A$2000))</f>
        <v/>
      </c>
      <c r="T47" s="22" t="str">
        <f t="shared" si="0"/>
        <v/>
      </c>
    </row>
    <row r="48" spans="1:20" s="9" customFormat="1" x14ac:dyDescent="0.25">
      <c r="A48" s="25" t="s">
        <v>176</v>
      </c>
      <c r="B48" s="28"/>
      <c r="C48" s="28"/>
      <c r="D48" s="28"/>
      <c r="E48" s="28"/>
      <c r="F48" s="28"/>
      <c r="G48" s="29"/>
      <c r="H48" s="29"/>
      <c r="I48" s="27"/>
      <c r="J48" s="27"/>
      <c r="K48" s="27"/>
      <c r="L48" s="27"/>
      <c r="M48" s="27"/>
      <c r="N48" s="29"/>
      <c r="O48" s="27"/>
      <c r="P48" s="27"/>
      <c r="Q48" s="27"/>
      <c r="R48" s="20" t="str">
        <f>IF(OR(A48="",LEN(A48)&lt;&gt;3),"",WORKDAY(WORKDAY(DATEVALUE("15/"&amp;VLOOKUP(LEFT(A48,1),$S$1:$U$13,3,FALSE)&amp;"/"&amp;20&amp;RIGHT(A48,2)),-1,Feriados!$A$2:$A$2000),1,Feriados!$A$2:$A$2000))</f>
        <v/>
      </c>
      <c r="S48" s="21" t="str">
        <f>IF(OR(R48="",R48="Cadastrar ativo na aba Banco de Códigos B3"),"",NETWORKDAYS($B$1,R48-1,Feriados!$A$2:$A$2000))</f>
        <v/>
      </c>
      <c r="T48" s="22" t="str">
        <f t="shared" si="0"/>
        <v/>
      </c>
    </row>
    <row r="49" spans="1:20" s="9" customFormat="1" ht="15.6" x14ac:dyDescent="0.25">
      <c r="A49" s="32"/>
      <c r="B49" s="28"/>
      <c r="C49" s="28"/>
      <c r="D49" s="28"/>
      <c r="E49" s="28"/>
      <c r="F49" s="28"/>
      <c r="G49" s="29"/>
      <c r="H49" s="29"/>
      <c r="I49" s="27"/>
      <c r="J49" s="27"/>
      <c r="K49" s="27"/>
      <c r="L49" s="27"/>
      <c r="M49" s="27"/>
      <c r="N49" s="29"/>
      <c r="O49" s="27"/>
      <c r="P49" s="27"/>
      <c r="Q49" s="27"/>
      <c r="R49" s="20" t="str">
        <f>IF(OR(A49="",LEN(A49)&lt;&gt;3),"",WORKDAY(WORKDAY(DATEVALUE("15/"&amp;VLOOKUP(LEFT(A49,1),$S$1:$U$13,3,FALSE)&amp;"/"&amp;20&amp;RIGHT(A49,2)),-1,Feriados!$A$2:$A$2000),1,Feriados!$A$2:$A$2000))</f>
        <v/>
      </c>
      <c r="S49" s="21" t="str">
        <f>IF(OR(R49="",R49="Cadastrar ativo na aba Banco de Códigos B3"),"",NETWORKDAYS($B$1,R49-1,Feriados!$A$2:$A$2000))</f>
        <v/>
      </c>
      <c r="T49" s="22" t="str">
        <f t="shared" si="0"/>
        <v/>
      </c>
    </row>
    <row r="50" spans="1:20" s="9" customFormat="1" ht="15.6" x14ac:dyDescent="0.25">
      <c r="A50" s="32" t="s">
        <v>177</v>
      </c>
      <c r="B50" s="28"/>
      <c r="C50" s="28"/>
      <c r="D50" s="28"/>
      <c r="E50" s="28"/>
      <c r="F50" s="28"/>
      <c r="G50" s="29"/>
      <c r="H50" s="29"/>
      <c r="I50" s="27"/>
      <c r="J50" s="27"/>
      <c r="K50" s="27"/>
      <c r="L50" s="27"/>
      <c r="M50" s="27"/>
      <c r="N50" s="29"/>
      <c r="O50" s="27"/>
      <c r="P50" s="27"/>
      <c r="Q50" s="27"/>
      <c r="R50" s="20" t="str">
        <f>IF(OR(A50="",LEN(A50)&lt;&gt;3),"",WORKDAY(WORKDAY(DATEVALUE("15/"&amp;VLOOKUP(LEFT(A50,1),$S$1:$U$13,3,FALSE)&amp;"/"&amp;20&amp;RIGHT(A50,2)),-1,Feriados!$A$2:$A$2000),1,Feriados!$A$2:$A$2000))</f>
        <v/>
      </c>
      <c r="S50" s="21" t="str">
        <f>IF(OR(R50="",R50="Cadastrar ativo na aba Banco de Códigos B3"),"",NETWORKDAYS($B$1,R50-1,Feriados!$A$2:$A$2000))</f>
        <v/>
      </c>
      <c r="T50" s="22" t="str">
        <f t="shared" si="0"/>
        <v/>
      </c>
    </row>
    <row r="51" spans="1:20" s="9" customFormat="1" x14ac:dyDescent="0.25">
      <c r="A51" s="25"/>
      <c r="B51" s="28"/>
      <c r="C51" s="28"/>
      <c r="D51" s="28"/>
      <c r="E51" s="28"/>
      <c r="F51" s="28"/>
      <c r="G51" s="29"/>
      <c r="H51" s="29"/>
      <c r="I51" s="27"/>
      <c r="J51" s="27"/>
      <c r="K51" s="27"/>
      <c r="L51" s="27"/>
      <c r="M51" s="27"/>
      <c r="N51" s="29"/>
      <c r="O51" s="27"/>
      <c r="P51" s="27"/>
      <c r="Q51" s="27"/>
      <c r="R51" s="20" t="str">
        <f>IF(OR(A51="",LEN(A51)&lt;&gt;3),"",WORKDAY(WORKDAY(DATEVALUE("15/"&amp;VLOOKUP(LEFT(A51,1),$S$1:$U$13,3,FALSE)&amp;"/"&amp;20&amp;RIGHT(A51,2)),-1,Feriados!$A$2:$A$2000),1,Feriados!$A$2:$A$2000))</f>
        <v/>
      </c>
      <c r="S51" s="21" t="str">
        <f>IF(OR(R51="",R51="Cadastrar ativo na aba Banco de Códigos B3"),"",NETWORKDAYS($B$1,R51-1,Feriados!$A$2:$A$2000))</f>
        <v/>
      </c>
      <c r="T51" s="22" t="str">
        <f t="shared" si="0"/>
        <v/>
      </c>
    </row>
    <row r="52" spans="1:20" s="9" customFormat="1" x14ac:dyDescent="0.25">
      <c r="A52" s="27"/>
      <c r="B52" s="28"/>
      <c r="C52" s="28"/>
      <c r="D52" s="27"/>
      <c r="E52" s="28"/>
      <c r="F52" s="28"/>
      <c r="G52" s="29"/>
      <c r="H52" s="29"/>
      <c r="I52" s="27"/>
      <c r="J52" s="27"/>
      <c r="K52" s="27"/>
      <c r="L52" s="27"/>
      <c r="M52" s="27"/>
      <c r="N52" s="29"/>
      <c r="O52" s="27"/>
      <c r="P52" s="27"/>
      <c r="Q52" s="27"/>
      <c r="R52" s="20" t="str">
        <f>IF(OR(A52="",LEN(A52)&lt;&gt;3),"",WORKDAY(WORKDAY(DATEVALUE("15/"&amp;VLOOKUP(LEFT(A52,1),$S$1:$U$13,3,FALSE)&amp;"/"&amp;20&amp;RIGHT(A52,2)),-1,Feriados!$A$2:$A$2000),1,Feriados!$A$2:$A$2000))</f>
        <v/>
      </c>
      <c r="S52" s="21" t="str">
        <f>IF(OR(R52="",R52="Cadastrar ativo na aba Banco de Códigos B3"),"",NETWORKDAYS($B$1,R52-1,Feriados!$A$2:$A$2000))</f>
        <v/>
      </c>
      <c r="T52" s="22" t="str">
        <f t="shared" si="0"/>
        <v/>
      </c>
    </row>
    <row r="53" spans="1:20" s="9" customFormat="1" x14ac:dyDescent="0.25">
      <c r="A53" s="27"/>
      <c r="B53" s="28"/>
      <c r="C53" s="28"/>
      <c r="D53" s="28"/>
      <c r="E53" s="28"/>
      <c r="F53" s="28"/>
      <c r="G53" s="29"/>
      <c r="H53" s="29"/>
      <c r="I53" s="27"/>
      <c r="J53" s="27"/>
      <c r="K53" s="27"/>
      <c r="L53" s="27"/>
      <c r="M53" s="27"/>
      <c r="N53" s="29"/>
      <c r="O53" s="27"/>
      <c r="P53" s="27"/>
      <c r="Q53" s="27"/>
      <c r="R53" s="20" t="str">
        <f>IF(OR(A53="",LEN(A53)&lt;&gt;3),"",WORKDAY(WORKDAY(DATEVALUE("15/"&amp;VLOOKUP(LEFT(A53,1),$S$1:$U$13,3,FALSE)&amp;"/"&amp;20&amp;RIGHT(A53,2)),-1,Feriados!$A$2:$A$2000),1,Feriados!$A$2:$A$2000))</f>
        <v/>
      </c>
      <c r="S53" s="21" t="str">
        <f>IF(OR(R53="",R53="Cadastrar ativo na aba Banco de Códigos B3"),"",NETWORKDAYS($B$1,R53-1,Feriados!$A$2:$A$2000))</f>
        <v/>
      </c>
      <c r="T53" s="22" t="str">
        <f t="shared" si="0"/>
        <v/>
      </c>
    </row>
    <row r="54" spans="1:20" s="9" customFormat="1" x14ac:dyDescent="0.25">
      <c r="A54" s="27"/>
      <c r="B54" s="28"/>
      <c r="C54" s="28"/>
      <c r="D54" s="27"/>
      <c r="E54" s="27"/>
      <c r="F54" s="27"/>
      <c r="G54" s="29"/>
      <c r="H54" s="29"/>
      <c r="I54" s="27"/>
      <c r="J54" s="27"/>
      <c r="K54" s="27"/>
      <c r="L54" s="27"/>
      <c r="M54" s="27"/>
      <c r="N54" s="29"/>
      <c r="O54" s="27"/>
      <c r="P54" s="27"/>
      <c r="Q54" s="27"/>
      <c r="R54" s="20" t="str">
        <f>IF(OR(A54="",LEN(A54)&lt;&gt;3),"",WORKDAY(WORKDAY(DATEVALUE("15/"&amp;VLOOKUP(LEFT(A54,1),$S$1:$U$13,3,FALSE)&amp;"/"&amp;20&amp;RIGHT(A54,2)),-1,Feriados!$A$2:$A$2000),1,Feriados!$A$2:$A$2000))</f>
        <v/>
      </c>
      <c r="S54" s="21" t="str">
        <f>IF(OR(R54="",R54="Cadastrar ativo na aba Banco de Códigos B3"),"",NETWORKDAYS($B$1,R54-1,Feriados!$A$2:$A$2000))</f>
        <v/>
      </c>
      <c r="T54" s="22" t="str">
        <f t="shared" si="0"/>
        <v/>
      </c>
    </row>
    <row r="55" spans="1:20" s="9" customFormat="1" x14ac:dyDescent="0.25">
      <c r="A55" s="27"/>
      <c r="B55" s="28"/>
      <c r="C55" s="28"/>
      <c r="D55" s="27"/>
      <c r="E55" s="27"/>
      <c r="F55" s="27"/>
      <c r="G55" s="29"/>
      <c r="H55" s="29"/>
      <c r="I55" s="27"/>
      <c r="J55" s="27"/>
      <c r="K55" s="27"/>
      <c r="L55" s="27"/>
      <c r="M55" s="27"/>
      <c r="N55" s="29"/>
      <c r="O55" s="27"/>
      <c r="P55" s="27"/>
      <c r="Q55" s="27"/>
      <c r="R55" s="20" t="str">
        <f>IF(OR(A55="",LEN(A55)&lt;&gt;3),"",WORKDAY(WORKDAY(DATEVALUE("15/"&amp;VLOOKUP(LEFT(A55,1),$S$1:$U$13,3,FALSE)&amp;"/"&amp;20&amp;RIGHT(A55,2)),-1,Feriados!$A$2:$A$2000),1,Feriados!$A$2:$A$2000))</f>
        <v/>
      </c>
      <c r="S55" s="21" t="str">
        <f>IF(OR(R55="",R55="Cadastrar ativo na aba Banco de Códigos B3"),"",NETWORKDAYS($B$1,R55-1,Feriados!$A$2:$A$2000))</f>
        <v/>
      </c>
      <c r="T55" s="22" t="str">
        <f t="shared" si="0"/>
        <v/>
      </c>
    </row>
    <row r="56" spans="1:20" s="9" customFormat="1" x14ac:dyDescent="0.25">
      <c r="A56" s="25"/>
      <c r="B56" s="30"/>
      <c r="C56" s="30"/>
      <c r="D56" s="25"/>
      <c r="E56" s="25"/>
      <c r="F56" s="25"/>
      <c r="G56" s="31"/>
      <c r="H56" s="31"/>
      <c r="I56" s="25"/>
      <c r="J56" s="25"/>
      <c r="K56" s="25"/>
      <c r="L56" s="25"/>
      <c r="M56" s="25"/>
      <c r="N56" s="31"/>
      <c r="O56" s="25"/>
      <c r="P56" s="25"/>
      <c r="Q56" s="25"/>
      <c r="R56" s="20" t="str">
        <f>IF(OR(A56="",LEN(A56)&lt;&gt;3),"",WORKDAY(WORKDAY(DATEVALUE("15/"&amp;VLOOKUP(LEFT(A56,1),$S$1:$U$13,3,FALSE)&amp;"/"&amp;20&amp;RIGHT(A56,2)),-1,Feriados!$A$2:$A$2000),1,Feriados!$A$2:$A$2000))</f>
        <v/>
      </c>
      <c r="S56" s="21" t="str">
        <f>IF(OR(R56="",R56="Cadastrar ativo na aba Banco de Códigos B3"),"",NETWORKDAYS($B$1,R56-1,Feriados!$A$2:$A$2000))</f>
        <v/>
      </c>
      <c r="T56" s="22" t="str">
        <f t="shared" si="0"/>
        <v/>
      </c>
    </row>
    <row r="57" spans="1:20" s="9" customFormat="1" x14ac:dyDescent="0.25">
      <c r="A57" s="25"/>
      <c r="B57" s="25"/>
      <c r="C57" s="25"/>
      <c r="D57" s="25"/>
      <c r="E57" s="25"/>
      <c r="F57" s="25"/>
      <c r="G57" s="31"/>
      <c r="H57" s="31"/>
      <c r="I57" s="25"/>
      <c r="J57" s="25"/>
      <c r="K57" s="25"/>
      <c r="L57" s="25"/>
      <c r="M57" s="25"/>
      <c r="N57" s="31"/>
      <c r="O57" s="25"/>
      <c r="P57" s="25"/>
      <c r="Q57" s="25"/>
      <c r="R57" s="20" t="str">
        <f>IF(OR(A57="",LEN(A57)&lt;&gt;3),"",WORKDAY(WORKDAY(DATEVALUE("15/"&amp;VLOOKUP(LEFT(A57,1),$S$1:$U$13,3,FALSE)&amp;"/"&amp;20&amp;RIGHT(A57,2)),-1,Feriados!$A$2:$A$2000),1,Feriados!$A$2:$A$2000))</f>
        <v/>
      </c>
      <c r="S57" s="21" t="str">
        <f>IF(OR(R57="",R57="Cadastrar ativo na aba Banco de Códigos B3"),"",NETWORKDAYS($B$1,R57-1,Feriados!$A$2:$A$2000))</f>
        <v/>
      </c>
      <c r="T57" s="22" t="str">
        <f t="shared" si="0"/>
        <v/>
      </c>
    </row>
    <row r="58" spans="1:20" s="9" customFormat="1" x14ac:dyDescent="0.25">
      <c r="A58" s="25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0" t="str">
        <f>IF(OR(A58="",LEN(A58)&lt;&gt;3),"",WORKDAY(WORKDAY(DATEVALUE("15/"&amp;VLOOKUP(LEFT(A58,1),$S$1:$U$13,3,FALSE)&amp;"/"&amp;20&amp;RIGHT(A58,2)),-1,Feriados!$A$2:$A$2000),1,Feriados!$A$2:$A$2000))</f>
        <v/>
      </c>
      <c r="S58" s="21" t="str">
        <f>IF(OR(R58="",R58="Cadastrar ativo na aba Banco de Códigos B3"),"",NETWORKDAYS($B$1,R58-1,Feriados!$A$2:$A$2000))</f>
        <v/>
      </c>
      <c r="T58" s="22" t="str">
        <f t="shared" si="0"/>
        <v/>
      </c>
    </row>
    <row r="59" spans="1:20" s="9" customFormat="1" x14ac:dyDescent="0.25">
      <c r="A59" s="25"/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0" t="str">
        <f>IF(OR(A59="",LEN(A59)&lt;&gt;3),"",WORKDAY(WORKDAY(DATEVALUE("15/"&amp;VLOOKUP(LEFT(A59,1),$S$1:$U$13,3,FALSE)&amp;"/"&amp;20&amp;RIGHT(A59,2)),-1,Feriados!$A$2:$A$2000),1,Feriados!$A$2:$A$2000))</f>
        <v/>
      </c>
      <c r="S59" s="21" t="str">
        <f>IF(OR(R59="",R59="Cadastrar ativo na aba Banco de Códigos B3"),"",NETWORKDAYS($B$1,R59-1,Feriados!$A$2:$A$2000))</f>
        <v/>
      </c>
      <c r="T59" s="22" t="str">
        <f t="shared" si="0"/>
        <v/>
      </c>
    </row>
    <row r="60" spans="1:20" s="9" customFormat="1" x14ac:dyDescent="0.25">
      <c r="A60" s="25"/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0" t="str">
        <f>IF(OR(A60="",LEN(A60)&lt;&gt;3),"",WORKDAY(WORKDAY(DATEVALUE("15/"&amp;VLOOKUP(LEFT(A60,1),$S$1:$U$13,3,FALSE)&amp;"/"&amp;20&amp;RIGHT(A60,2)),-1,Feriados!$A$2:$A$2000),1,Feriados!$A$2:$A$2000))</f>
        <v/>
      </c>
      <c r="S60" s="21" t="str">
        <f>IF(OR(R60="",R60="Cadastrar ativo na aba Banco de Códigos B3"),"",NETWORKDAYS($B$1,R60-1,Feriados!$A$2:$A$2000))</f>
        <v/>
      </c>
      <c r="T60" s="22" t="str">
        <f t="shared" si="0"/>
        <v/>
      </c>
    </row>
    <row r="61" spans="1:20" x14ac:dyDescent="0.25">
      <c r="A61" s="25"/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0" t="str">
        <f>IF(OR(A61="",LEN(A61)&lt;&gt;3),"",WORKDAY(WORKDAY(DATEVALUE("15/"&amp;VLOOKUP(LEFT(A61,1),$S$1:$U$13,3,FALSE)&amp;"/"&amp;20&amp;RIGHT(A61,2)),-1,Feriados!$A$2:$A$2000),1,Feriados!$A$2:$A$2000))</f>
        <v/>
      </c>
      <c r="S61" s="21" t="str">
        <f>IF(OR(R61="",R61="Cadastrar ativo na aba Banco de Códigos B3"),"",NETWORKDAYS($B$1,R61-1,Feriados!$A$2:$A$2000))</f>
        <v/>
      </c>
      <c r="T61" s="22" t="str">
        <f t="shared" si="0"/>
        <v/>
      </c>
    </row>
    <row r="62" spans="1:20" ht="15.6" x14ac:dyDescent="0.25">
      <c r="A62" s="32"/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0" t="str">
        <f>IF(OR(A62="",LEN(A62)&lt;&gt;3),"",WORKDAY(WORKDAY(DATEVALUE("15/"&amp;VLOOKUP(LEFT(A62,1),$S$1:$U$13,3,FALSE)&amp;"/"&amp;20&amp;RIGHT(A62,2)),-1,Feriados!$A$2:$A$2000),1,Feriados!$A$2:$A$2000))</f>
        <v/>
      </c>
      <c r="S62" s="21" t="str">
        <f>IF(OR(R62="",R62="Cadastrar ativo na aba Banco de Códigos B3"),"",NETWORKDAYS($B$1,R62-1,Feriados!$A$2:$A$2000))</f>
        <v/>
      </c>
      <c r="T62" s="22" t="str">
        <f t="shared" si="0"/>
        <v/>
      </c>
    </row>
    <row r="63" spans="1:20" x14ac:dyDescent="0.25">
      <c r="A63" s="25"/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0" t="str">
        <f>IF(OR(A63="",LEN(A63)&lt;&gt;3),"",WORKDAY(WORKDAY(DATEVALUE("15/"&amp;VLOOKUP(LEFT(A63,1),$S$1:$U$13,3,FALSE)&amp;"/"&amp;20&amp;RIGHT(A63,2)),-1,Feriados!$A$2:$A$2000),1,Feriados!$A$2:$A$2000))</f>
        <v/>
      </c>
      <c r="S63" s="21" t="str">
        <f>IF(OR(R63="",R63="Cadastrar ativo na aba Banco de Códigos B3"),"",NETWORKDAYS($B$1,R63-1,Feriados!$A$2:$A$2000))</f>
        <v/>
      </c>
      <c r="T63" s="22" t="str">
        <f t="shared" si="0"/>
        <v/>
      </c>
    </row>
    <row r="64" spans="1:20" ht="15.6" x14ac:dyDescent="0.25">
      <c r="A64" s="32"/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0" t="str">
        <f>IF(OR(A64="",LEN(A64)&lt;&gt;3),"",WORKDAY(WORKDAY(DATEVALUE("15/"&amp;VLOOKUP(LEFT(A64,1),$S$1:$U$13,3,FALSE)&amp;"/"&amp;20&amp;RIGHT(A64,2)),-1,Feriados!$A$2:$A$2000),1,Feriados!$A$2:$A$2000))</f>
        <v/>
      </c>
      <c r="S64" s="21" t="str">
        <f>IF(OR(R64="",R64="Cadastrar ativo na aba Banco de Códigos B3"),"",NETWORKDAYS($B$1,R64-1,Feriados!$A$2:$A$2000))</f>
        <v/>
      </c>
      <c r="T64" s="22" t="str">
        <f t="shared" si="0"/>
        <v/>
      </c>
    </row>
    <row r="65" spans="1:20" x14ac:dyDescent="0.25">
      <c r="A65" s="25"/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0" t="str">
        <f>IF(OR(A65="",LEN(A65)&lt;&gt;3),"",WORKDAY(WORKDAY(DATEVALUE("15/"&amp;VLOOKUP(LEFT(A65,1),$S$1:$U$13,3,FALSE)&amp;"/"&amp;20&amp;RIGHT(A65,2)),-1,Feriados!$A$2:$A$2000),1,Feriados!$A$2:$A$2000))</f>
        <v/>
      </c>
      <c r="S65" s="21" t="str">
        <f>IF(OR(R65="",R65="Cadastrar ativo na aba Banco de Códigos B3"),"",NETWORKDAYS($B$1,R65-1,Feriados!$A$2:$A$2000))</f>
        <v/>
      </c>
      <c r="T65" s="22" t="str">
        <f t="shared" si="0"/>
        <v/>
      </c>
    </row>
    <row r="66" spans="1:20" ht="15.6" x14ac:dyDescent="0.25">
      <c r="A66" s="32"/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0" t="str">
        <f>IF(OR(A66="",LEN(A66)&lt;&gt;3),"",WORKDAY(WORKDAY(DATEVALUE("15/"&amp;VLOOKUP(LEFT(A66,1),$S$1:$U$13,3,FALSE)&amp;"/"&amp;20&amp;RIGHT(A66,2)),-1,Feriados!$A$2:$A$2000),1,Feriados!$A$2:$A$2000))</f>
        <v/>
      </c>
      <c r="S66" s="21" t="str">
        <f>IF(OR(R66="",R66="Cadastrar ativo na aba Banco de Códigos B3"),"",NETWORKDAYS($B$1,R66-1,Feriados!$A$2:$A$2000))</f>
        <v/>
      </c>
      <c r="T66" s="22" t="str">
        <f t="shared" si="0"/>
        <v/>
      </c>
    </row>
    <row r="67" spans="1:20" x14ac:dyDescent="0.25">
      <c r="A67" s="25"/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0" t="str">
        <f>IF(OR(A67="",LEN(A67)&lt;&gt;3),"",WORKDAY(WORKDAY(DATEVALUE("15/"&amp;VLOOKUP(LEFT(A67,1),$S$1:$U$13,3,FALSE)&amp;"/"&amp;20&amp;RIGHT(A67,2)),-1,Feriados!$A$2:$A$2000),1,Feriados!$A$2:$A$2000))</f>
        <v/>
      </c>
      <c r="S67" s="21" t="str">
        <f>IF(OR(R67="",R67="Cadastrar ativo na aba Banco de Códigos B3"),"",NETWORKDAYS($B$1,R67-1,Feriados!$A$2:$A$2000))</f>
        <v/>
      </c>
      <c r="T67" s="22" t="str">
        <f t="shared" si="0"/>
        <v/>
      </c>
    </row>
    <row r="68" spans="1:20" ht="15.6" x14ac:dyDescent="0.25">
      <c r="A68" s="32"/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0" t="str">
        <f>IF(OR(A68="",LEN(A68)&lt;&gt;3),"",WORKDAY(WORKDAY(DATEVALUE("15/"&amp;VLOOKUP(LEFT(A68,1),$S$1:$U$13,3,FALSE)&amp;"/"&amp;20&amp;RIGHT(A68,2)),-1,Feriados!$A$2:$A$2000),1,Feriados!$A$2:$A$2000))</f>
        <v/>
      </c>
      <c r="S68" s="21" t="str">
        <f>IF(OR(R68="",R68="Cadastrar ativo na aba Banco de Códigos B3"),"",NETWORKDAYS($B$1,R68-1,Feriados!$A$2:$A$2000))</f>
        <v/>
      </c>
      <c r="T68" s="22" t="str">
        <f t="shared" si="0"/>
        <v/>
      </c>
    </row>
    <row r="69" spans="1:20" ht="15.6" x14ac:dyDescent="0.25">
      <c r="A69" s="32"/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0" t="str">
        <f>IF(OR(A69="",LEN(A69)&lt;&gt;3),"",WORKDAY(WORKDAY(DATEVALUE("15/"&amp;VLOOKUP(LEFT(A69,1),$S$1:$U$13,3,FALSE)&amp;"/"&amp;20&amp;RIGHT(A69,2)),-1,Feriados!$A$2:$A$2000),1,Feriados!$A$2:$A$2000))</f>
        <v/>
      </c>
      <c r="S69" s="21" t="str">
        <f>IF(OR(R69="",R69="Cadastrar ativo na aba Banco de Códigos B3"),"",NETWORKDAYS($B$1,R69-1,Feriados!$A$2:$A$2000))</f>
        <v/>
      </c>
      <c r="T69" s="22" t="str">
        <f t="shared" si="0"/>
        <v/>
      </c>
    </row>
    <row r="70" spans="1:20" x14ac:dyDescent="0.25">
      <c r="A70" s="25"/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0" t="str">
        <f>IF(OR(A70="",LEN(A70)&lt;&gt;3),"",WORKDAY(WORKDAY(DATEVALUE("15/"&amp;VLOOKUP(LEFT(A70,1),$S$1:$U$13,3,FALSE)&amp;"/"&amp;20&amp;RIGHT(A70,2)),-1,Feriados!$A$2:$A$2000),1,Feriados!$A$2:$A$2000))</f>
        <v/>
      </c>
      <c r="S70" s="21" t="str">
        <f>IF(OR(R70="",R70="Cadastrar ativo na aba Banco de Códigos B3"),"",NETWORKDAYS($B$1,R70-1,Feriados!$A$2:$A$2000))</f>
        <v/>
      </c>
      <c r="T70" s="22" t="str">
        <f t="shared" si="0"/>
        <v/>
      </c>
    </row>
    <row r="71" spans="1:20" x14ac:dyDescent="0.25">
      <c r="A71" s="25"/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0" t="str">
        <f>IF(OR(A71="",LEN(A71)&lt;&gt;3),"",WORKDAY(WORKDAY(DATEVALUE("15/"&amp;VLOOKUP(LEFT(A71,1),$S$1:$U$13,3,FALSE)&amp;"/"&amp;20&amp;RIGHT(A71,2)),-1,Feriados!$A$2:$A$2000),1,Feriados!$A$2:$A$2000))</f>
        <v/>
      </c>
      <c r="S71" s="21" t="str">
        <f>IF(OR(R71="",R71="Cadastrar ativo na aba Banco de Códigos B3"),"",NETWORKDAYS($B$1,R71-1,Feriados!$A$2:$A$2000))</f>
        <v/>
      </c>
      <c r="T71" s="22" t="str">
        <f t="shared" si="0"/>
        <v/>
      </c>
    </row>
    <row r="72" spans="1:20" x14ac:dyDescent="0.25">
      <c r="A72" s="25"/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0" t="str">
        <f>IF(OR(A72="",LEN(A72)&lt;&gt;3),"",WORKDAY(WORKDAY(DATEVALUE("15/"&amp;VLOOKUP(LEFT(A72,1),$S$1:$U$13,3,FALSE)&amp;"/"&amp;20&amp;RIGHT(A72,2)),-1,Feriados!$A$2:$A$2000),1,Feriados!$A$2:$A$2000))</f>
        <v/>
      </c>
      <c r="S72" s="21" t="str">
        <f>IF(OR(R72="",R72="Cadastrar ativo na aba Banco de Códigos B3"),"",NETWORKDAYS($B$1,R72-1,Feriados!$A$2:$A$2000))</f>
        <v/>
      </c>
      <c r="T72" s="22" t="str">
        <f t="shared" si="0"/>
        <v/>
      </c>
    </row>
    <row r="73" spans="1:20" x14ac:dyDescent="0.25">
      <c r="A73" s="25"/>
      <c r="B73" s="25"/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5"/>
      <c r="O73" s="25"/>
      <c r="P73" s="25"/>
      <c r="Q73" s="25"/>
      <c r="R73" s="20" t="str">
        <f>IF(OR(A73="",LEN(A73)&lt;&gt;3),"",WORKDAY(WORKDAY(DATEVALUE("15/"&amp;VLOOKUP(LEFT(A73,1),$S$1:$U$13,3,FALSE)&amp;"/"&amp;20&amp;RIGHT(A73,2)),-1,Feriados!$A$2:$A$2000),1,Feriados!$A$2:$A$2000))</f>
        <v/>
      </c>
      <c r="S73" s="21" t="str">
        <f>IF(OR(R73="",R73="Cadastrar ativo na aba Banco de Códigos B3"),"",NETWORKDAYS($B$1,R73-1,Feriados!$A$2:$A$2000))</f>
        <v/>
      </c>
      <c r="T73" s="22" t="str">
        <f t="shared" si="0"/>
        <v/>
      </c>
    </row>
    <row r="74" spans="1:20" x14ac:dyDescent="0.25">
      <c r="A74" s="25"/>
      <c r="B74" s="25"/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0" t="str">
        <f>IF(OR(A74="",LEN(A74)&lt;&gt;3),"",WORKDAY(WORKDAY(DATEVALUE("15/"&amp;VLOOKUP(LEFT(A74,1),$S$1:$U$13,3,FALSE)&amp;"/"&amp;20&amp;RIGHT(A74,2)),-1,Feriados!$A$2:$A$2000),1,Feriados!$A$2:$A$2000))</f>
        <v/>
      </c>
      <c r="S74" s="21" t="str">
        <f>IF(OR(R74="",R74="Cadastrar ativo na aba Banco de Códigos B3"),"",NETWORKDAYS($B$1,R74-1,Feriados!$A$2:$A$2000))</f>
        <v/>
      </c>
      <c r="T74" s="22" t="str">
        <f t="shared" si="0"/>
        <v/>
      </c>
    </row>
    <row r="75" spans="1:20" x14ac:dyDescent="0.25">
      <c r="A75" s="25"/>
      <c r="B75" s="25"/>
      <c r="C75" s="25"/>
      <c r="D75" s="25"/>
      <c r="E75" s="25"/>
      <c r="F75" s="25"/>
      <c r="G75" s="25"/>
      <c r="H75" s="25"/>
      <c r="I75" s="25"/>
      <c r="J75" s="25"/>
      <c r="K75" s="25"/>
      <c r="L75" s="25"/>
      <c r="M75" s="25"/>
      <c r="N75" s="25"/>
      <c r="O75" s="25"/>
      <c r="P75" s="25"/>
      <c r="Q75" s="25"/>
      <c r="R75" s="20" t="str">
        <f>IF(OR(A75="",LEN(A75)&lt;&gt;3),"",WORKDAY(WORKDAY(DATEVALUE("15/"&amp;VLOOKUP(LEFT(A75,1),$S$1:$U$13,3,FALSE)&amp;"/"&amp;20&amp;RIGHT(A75,2)),-1,Feriados!$A$2:$A$2000),1,Feriados!$A$2:$A$2000))</f>
        <v/>
      </c>
      <c r="S75" s="21" t="str">
        <f>IF(OR(R75="",R75="Cadastrar ativo na aba Banco de Códigos B3"),"",NETWORKDAYS($B$1,R75-1,Feriados!$A$2:$A$2000))</f>
        <v/>
      </c>
      <c r="T75" s="22" t="str">
        <f t="shared" si="0"/>
        <v/>
      </c>
    </row>
    <row r="76" spans="1:20" x14ac:dyDescent="0.25">
      <c r="A76" s="25"/>
      <c r="B76" s="25"/>
      <c r="C76" s="25"/>
      <c r="D76" s="25"/>
      <c r="E76" s="25"/>
      <c r="F76" s="25"/>
      <c r="G76" s="25"/>
      <c r="H76" s="25"/>
      <c r="I76" s="25"/>
      <c r="J76" s="25"/>
      <c r="K76" s="25"/>
      <c r="L76" s="25"/>
      <c r="M76" s="25"/>
      <c r="N76" s="25"/>
      <c r="O76" s="25"/>
      <c r="P76" s="25"/>
      <c r="Q76" s="25"/>
      <c r="R76" s="20" t="str">
        <f>IF(OR(A76="",LEN(A76)&lt;&gt;3),"",WORKDAY(WORKDAY(DATEVALUE("15/"&amp;VLOOKUP(LEFT(A76,1),$S$1:$U$13,3,FALSE)&amp;"/"&amp;20&amp;RIGHT(A76,2)),-1,Feriados!$A$2:$A$2000),1,Feriados!$A$2:$A$2000))</f>
        <v/>
      </c>
      <c r="S76" s="21" t="str">
        <f>IF(OR(R76="",R76="Cadastrar ativo na aba Banco de Códigos B3"),"",NETWORKDAYS($B$1,R76-1,Feriados!$A$2:$A$2000))</f>
        <v/>
      </c>
      <c r="T76" s="22" t="str">
        <f t="shared" si="0"/>
        <v/>
      </c>
    </row>
    <row r="77" spans="1:20" x14ac:dyDescent="0.25">
      <c r="A77" s="25"/>
      <c r="B77" s="25"/>
      <c r="C77" s="25"/>
      <c r="D77" s="25"/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25"/>
      <c r="P77" s="25"/>
      <c r="Q77" s="25"/>
      <c r="R77" s="20" t="str">
        <f>IF(OR(A77="",LEN(A77)&lt;&gt;3),"",WORKDAY(WORKDAY(DATEVALUE("15/"&amp;VLOOKUP(LEFT(A77,1),$S$1:$U$13,3,FALSE)&amp;"/"&amp;20&amp;RIGHT(A77,2)),-1,Feriados!$A$2:$A$2000),1,Feriados!$A$2:$A$2000))</f>
        <v/>
      </c>
      <c r="S77" s="21" t="str">
        <f>IF(OR(R77="",R77="Cadastrar ativo na aba Banco de Códigos B3"),"",NETWORKDAYS($B$1,R77-1,Feriados!$A$2:$A$2000))</f>
        <v/>
      </c>
      <c r="T77" s="22" t="str">
        <f t="shared" si="0"/>
        <v/>
      </c>
    </row>
    <row r="78" spans="1:20" x14ac:dyDescent="0.25">
      <c r="A78" s="25"/>
      <c r="B78" s="25"/>
      <c r="C78" s="25"/>
      <c r="D78" s="25"/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  <c r="P78" s="25"/>
      <c r="Q78" s="25"/>
      <c r="R78" s="20" t="str">
        <f>IF(OR(A78="",LEN(A78)&lt;&gt;3),"",WORKDAY(WORKDAY(DATEVALUE("15/"&amp;VLOOKUP(LEFT(A78,1),$S$1:$U$13,3,FALSE)&amp;"/"&amp;20&amp;RIGHT(A78,2)),-1,Feriados!$A$2:$A$2000),1,Feriados!$A$2:$A$2000))</f>
        <v/>
      </c>
      <c r="S78" s="21" t="str">
        <f>IF(OR(R78="",R78="Cadastrar ativo na aba Banco de Códigos B3"),"",NETWORKDAYS($B$1,R78-1,Feriados!$A$2:$A$2000))</f>
        <v/>
      </c>
      <c r="T78" s="22" t="str">
        <f t="shared" si="0"/>
        <v/>
      </c>
    </row>
    <row r="79" spans="1:20" x14ac:dyDescent="0.25">
      <c r="A79" s="25"/>
      <c r="B79" s="25"/>
      <c r="C79" s="25"/>
      <c r="D79" s="25"/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25"/>
      <c r="P79" s="25"/>
      <c r="Q79" s="25"/>
      <c r="R79" s="20" t="str">
        <f>IF(OR(A79="",LEN(A79)&lt;&gt;3),"",WORKDAY(WORKDAY(DATEVALUE("15/"&amp;VLOOKUP(LEFT(A79,1),$S$1:$U$13,3,FALSE)&amp;"/"&amp;20&amp;RIGHT(A79,2)),-1,Feriados!$A$2:$A$2000),1,Feriados!$A$2:$A$2000))</f>
        <v/>
      </c>
      <c r="S79" s="21" t="str">
        <f>IF(OR(R79="",R79="Cadastrar ativo na aba Banco de Códigos B3"),"",NETWORKDAYS($B$1,R79-1,Feriados!$A$2:$A$2000))</f>
        <v/>
      </c>
      <c r="T79" s="22" t="str">
        <f t="shared" si="0"/>
        <v/>
      </c>
    </row>
    <row r="80" spans="1:20" x14ac:dyDescent="0.25">
      <c r="A80" s="25"/>
      <c r="B80" s="25"/>
      <c r="C80" s="25"/>
      <c r="D80" s="25"/>
      <c r="E80" s="25"/>
      <c r="F80" s="25"/>
      <c r="G80" s="25"/>
      <c r="H80" s="25"/>
      <c r="I80" s="25"/>
      <c r="J80" s="25"/>
      <c r="K80" s="25"/>
      <c r="L80" s="25"/>
      <c r="M80" s="25"/>
      <c r="N80" s="25"/>
      <c r="O80" s="25"/>
      <c r="P80" s="25"/>
      <c r="Q80" s="25"/>
      <c r="R80" s="20" t="str">
        <f>IF(OR(A80="",LEN(A80)&lt;&gt;3),"",WORKDAY(WORKDAY(DATEVALUE("15/"&amp;VLOOKUP(LEFT(A80,1),$S$1:$U$13,3,FALSE)&amp;"/"&amp;20&amp;RIGHT(A80,2)),-1,Feriados!$A$2:$A$2000),1,Feriados!$A$2:$A$2000))</f>
        <v/>
      </c>
      <c r="S80" s="21" t="str">
        <f>IF(OR(R80="",R80="Cadastrar ativo na aba Banco de Códigos B3"),"",NETWORKDAYS($B$1,R80-1,Feriados!$A$2:$A$2000))</f>
        <v/>
      </c>
      <c r="T80" s="22" t="str">
        <f t="shared" si="0"/>
        <v/>
      </c>
    </row>
    <row r="81" spans="1:20" x14ac:dyDescent="0.25">
      <c r="A81" s="25"/>
      <c r="B81" s="25"/>
      <c r="C81" s="25"/>
      <c r="D81" s="25"/>
      <c r="E81" s="25"/>
      <c r="F81" s="25"/>
      <c r="G81" s="25"/>
      <c r="H81" s="25"/>
      <c r="I81" s="25"/>
      <c r="J81" s="25"/>
      <c r="K81" s="25"/>
      <c r="L81" s="25"/>
      <c r="M81" s="25"/>
      <c r="N81" s="25"/>
      <c r="O81" s="25"/>
      <c r="P81" s="25"/>
      <c r="Q81" s="25"/>
      <c r="R81" s="20" t="str">
        <f>IF(OR(A81="",LEN(A81)&lt;&gt;3),"",WORKDAY(WORKDAY(DATEVALUE("15/"&amp;VLOOKUP(LEFT(A81,1),$S$1:$U$13,3,FALSE)&amp;"/"&amp;20&amp;RIGHT(A81,2)),-1,Feriados!$A$2:$A$2000),1,Feriados!$A$2:$A$2000))</f>
        <v/>
      </c>
      <c r="S81" s="21" t="str">
        <f>IF(OR(R81="",R81="Cadastrar ativo na aba Banco de Códigos B3"),"",NETWORKDAYS($B$1,R81-1,Feriados!$A$2:$A$2000))</f>
        <v/>
      </c>
      <c r="T81" s="22" t="str">
        <f t="shared" si="0"/>
        <v/>
      </c>
    </row>
    <row r="82" spans="1:20" x14ac:dyDescent="0.25">
      <c r="A82" s="25"/>
      <c r="B82" s="25"/>
      <c r="C82" s="25"/>
      <c r="D82" s="25"/>
      <c r="E82" s="25"/>
      <c r="F82" s="25"/>
      <c r="G82" s="25"/>
      <c r="H82" s="25"/>
      <c r="I82" s="25"/>
      <c r="J82" s="25"/>
      <c r="K82" s="25"/>
      <c r="L82" s="25"/>
      <c r="M82" s="25"/>
      <c r="N82" s="25"/>
      <c r="O82" s="25"/>
      <c r="P82" s="25"/>
      <c r="Q82" s="25"/>
      <c r="R82" s="20" t="str">
        <f>IF(OR(A82="",LEN(A82)&lt;&gt;3),"",WORKDAY(WORKDAY(DATEVALUE("15/"&amp;VLOOKUP(LEFT(A82,1),$S$1:$U$13,3,FALSE)&amp;"/"&amp;20&amp;RIGHT(A82,2)),-1,Feriados!$A$2:$A$2000),1,Feriados!$A$2:$A$2000))</f>
        <v/>
      </c>
      <c r="S82" s="21" t="str">
        <f>IF(OR(R82="",R82="Cadastrar ativo na aba Banco de Códigos B3"),"",NETWORKDAYS($B$1,R82-1,Feriados!$A$2:$A$2000))</f>
        <v/>
      </c>
      <c r="T82" s="22" t="str">
        <f t="shared" si="0"/>
        <v/>
      </c>
    </row>
    <row r="83" spans="1:20" x14ac:dyDescent="0.25">
      <c r="A83" s="25"/>
      <c r="B83" s="25"/>
      <c r="C83" s="25"/>
      <c r="D83" s="25"/>
      <c r="E83" s="25"/>
      <c r="F83" s="25"/>
      <c r="G83" s="25"/>
      <c r="H83" s="25"/>
      <c r="I83" s="25"/>
      <c r="J83" s="25"/>
      <c r="K83" s="25"/>
      <c r="L83" s="25"/>
      <c r="M83" s="25"/>
      <c r="N83" s="25"/>
      <c r="O83" s="25"/>
      <c r="P83" s="25"/>
      <c r="Q83" s="25"/>
      <c r="R83" s="20" t="str">
        <f>IF(OR(A83="",LEN(A83)&lt;&gt;3),"",WORKDAY(WORKDAY(DATEVALUE("15/"&amp;VLOOKUP(LEFT(A83,1),$S$1:$U$13,3,FALSE)&amp;"/"&amp;20&amp;RIGHT(A83,2)),-1,Feriados!$A$2:$A$2000),1,Feriados!$A$2:$A$2000))</f>
        <v/>
      </c>
      <c r="S83" s="21" t="str">
        <f>IF(OR(R83="",R83="Cadastrar ativo na aba Banco de Códigos B3"),"",NETWORKDAYS($B$1,R83-1,Feriados!$A$2:$A$2000))</f>
        <v/>
      </c>
      <c r="T83" s="22" t="str">
        <f t="shared" si="0"/>
        <v/>
      </c>
    </row>
    <row r="84" spans="1:20" x14ac:dyDescent="0.25">
      <c r="A84" s="25"/>
      <c r="B84" s="25"/>
      <c r="C84" s="25"/>
      <c r="D84" s="25"/>
      <c r="E84" s="25"/>
      <c r="F84" s="25"/>
      <c r="G84" s="25"/>
      <c r="H84" s="25"/>
      <c r="I84" s="25"/>
      <c r="J84" s="25"/>
      <c r="K84" s="25"/>
      <c r="L84" s="25"/>
      <c r="M84" s="25"/>
      <c r="N84" s="25"/>
      <c r="O84" s="25"/>
      <c r="P84" s="25"/>
      <c r="Q84" s="25"/>
      <c r="R84" s="20" t="str">
        <f>IF(OR(A84="",LEN(A84)&lt;&gt;3),"",WORKDAY(WORKDAY(DATEVALUE("15/"&amp;VLOOKUP(LEFT(A84,1),$S$1:$U$13,3,FALSE)&amp;"/"&amp;20&amp;RIGHT(A84,2)),-1,Feriados!$A$2:$A$2000),1,Feriados!$A$2:$A$2000))</f>
        <v/>
      </c>
      <c r="S84" s="21" t="str">
        <f>IF(OR(R84="",R84="Cadastrar ativo na aba Banco de Códigos B3"),"",NETWORKDAYS($B$1,R84-1,Feriados!$A$2:$A$2000))</f>
        <v/>
      </c>
      <c r="T84" s="22" t="str">
        <f t="shared" ref="T84:T96" si="1">IF(OR(R84="",R84="Cadastrar ativo na aba Banco de Códigos B3"),"",+ROUND(((100000/N84)^(252/S84)-1)*100,2))</f>
        <v/>
      </c>
    </row>
    <row r="85" spans="1:20" x14ac:dyDescent="0.25">
      <c r="A85" s="25"/>
      <c r="B85" s="25"/>
      <c r="C85" s="25"/>
      <c r="D85" s="25"/>
      <c r="E85" s="25"/>
      <c r="F85" s="25"/>
      <c r="G85" s="25"/>
      <c r="H85" s="25"/>
      <c r="I85" s="25"/>
      <c r="J85" s="25"/>
      <c r="K85" s="25"/>
      <c r="L85" s="25"/>
      <c r="M85" s="25"/>
      <c r="N85" s="25"/>
      <c r="O85" s="25"/>
      <c r="P85" s="25"/>
      <c r="Q85" s="25"/>
      <c r="R85" s="20" t="str">
        <f>IF(OR(A85="",LEN(A85)&lt;&gt;3),"",WORKDAY(WORKDAY(DATEVALUE("15/"&amp;VLOOKUP(LEFT(A85,1),$S$1:$U$13,3,FALSE)&amp;"/"&amp;20&amp;RIGHT(A85,2)),-1,Feriados!$A$2:$A$2000),1,Feriados!$A$2:$A$2000))</f>
        <v/>
      </c>
      <c r="S85" s="21" t="str">
        <f>IF(OR(R85="",R85="Cadastrar ativo na aba Banco de Códigos B3"),"",NETWORKDAYS($B$1,R85-1,Feriados!$A$2:$A$2000))</f>
        <v/>
      </c>
      <c r="T85" s="22" t="str">
        <f t="shared" si="1"/>
        <v/>
      </c>
    </row>
    <row r="86" spans="1:20" x14ac:dyDescent="0.25">
      <c r="A86" s="25"/>
      <c r="B86" s="25"/>
      <c r="C86" s="25"/>
      <c r="D86" s="25"/>
      <c r="E86" s="25"/>
      <c r="F86" s="25"/>
      <c r="G86" s="25"/>
      <c r="H86" s="25"/>
      <c r="I86" s="25"/>
      <c r="J86" s="25"/>
      <c r="K86" s="25"/>
      <c r="L86" s="25"/>
      <c r="M86" s="25"/>
      <c r="N86" s="25"/>
      <c r="O86" s="25"/>
      <c r="P86" s="25"/>
      <c r="Q86" s="25"/>
      <c r="R86" s="20" t="str">
        <f>IF(OR(A86="",LEN(A86)&lt;&gt;3),"",WORKDAY(WORKDAY(DATEVALUE("15/"&amp;VLOOKUP(LEFT(A86,1),$S$1:$U$13,3,FALSE)&amp;"/"&amp;20&amp;RIGHT(A86,2)),-1,Feriados!$A$2:$A$2000),1,Feriados!$A$2:$A$2000))</f>
        <v/>
      </c>
      <c r="S86" s="21" t="str">
        <f>IF(OR(R86="",R86="Cadastrar ativo na aba Banco de Códigos B3"),"",NETWORKDAYS($B$1,R86-1,Feriados!$A$2:$A$2000))</f>
        <v/>
      </c>
      <c r="T86" s="22" t="str">
        <f t="shared" si="1"/>
        <v/>
      </c>
    </row>
    <row r="87" spans="1:20" x14ac:dyDescent="0.25">
      <c r="A87" s="25"/>
      <c r="B87" s="25"/>
      <c r="C87" s="25"/>
      <c r="D87" s="25"/>
      <c r="E87" s="25"/>
      <c r="F87" s="25"/>
      <c r="G87" s="25"/>
      <c r="H87" s="25"/>
      <c r="I87" s="25"/>
      <c r="J87" s="25"/>
      <c r="K87" s="25"/>
      <c r="L87" s="25"/>
      <c r="M87" s="25"/>
      <c r="N87" s="25"/>
      <c r="O87" s="25"/>
      <c r="P87" s="25"/>
      <c r="Q87" s="25"/>
      <c r="R87" s="20" t="str">
        <f>IF(OR(A87="",LEN(A87)&lt;&gt;3),"",WORKDAY(WORKDAY(DATEVALUE("15/"&amp;VLOOKUP(LEFT(A87,1),$S$1:$U$13,3,FALSE)&amp;"/"&amp;20&amp;RIGHT(A87,2)),-1,Feriados!$A$2:$A$2000),1,Feriados!$A$2:$A$2000))</f>
        <v/>
      </c>
      <c r="S87" s="21" t="str">
        <f>IF(OR(R87="",R87="Cadastrar ativo na aba Banco de Códigos B3"),"",NETWORKDAYS($B$1,R87-1,Feriados!$A$2:$A$2000))</f>
        <v/>
      </c>
      <c r="T87" s="22" t="str">
        <f t="shared" si="1"/>
        <v/>
      </c>
    </row>
    <row r="88" spans="1:20" x14ac:dyDescent="0.25">
      <c r="A88" s="25"/>
      <c r="B88" s="25"/>
      <c r="C88" s="25"/>
      <c r="D88" s="25"/>
      <c r="E88" s="25"/>
      <c r="F88" s="25"/>
      <c r="G88" s="25"/>
      <c r="H88" s="25"/>
      <c r="I88" s="25"/>
      <c r="J88" s="25"/>
      <c r="K88" s="25"/>
      <c r="L88" s="25"/>
      <c r="M88" s="25"/>
      <c r="N88" s="25"/>
      <c r="O88" s="25"/>
      <c r="P88" s="25"/>
      <c r="Q88" s="25"/>
      <c r="R88" s="20" t="str">
        <f>IF(OR(A88="",LEN(A88)&lt;&gt;3),"",WORKDAY(WORKDAY(DATEVALUE("15/"&amp;VLOOKUP(LEFT(A88,1),$S$1:$U$13,3,FALSE)&amp;"/"&amp;20&amp;RIGHT(A88,2)),-1,Feriados!$A$2:$A$2000),1,Feriados!$A$2:$A$2000))</f>
        <v/>
      </c>
      <c r="S88" s="21" t="str">
        <f>IF(OR(R88="",R88="Cadastrar ativo na aba Banco de Códigos B3"),"",NETWORKDAYS($B$1,R88-1,Feriados!$A$2:$A$2000))</f>
        <v/>
      </c>
      <c r="T88" s="22" t="str">
        <f t="shared" si="1"/>
        <v/>
      </c>
    </row>
    <row r="89" spans="1:20" x14ac:dyDescent="0.25">
      <c r="A89" s="25"/>
      <c r="B89" s="25"/>
      <c r="C89" s="25"/>
      <c r="D89" s="25"/>
      <c r="E89" s="25"/>
      <c r="F89" s="25"/>
      <c r="G89" s="25"/>
      <c r="H89" s="25"/>
      <c r="I89" s="25"/>
      <c r="J89" s="25"/>
      <c r="K89" s="25"/>
      <c r="L89" s="25"/>
      <c r="M89" s="25"/>
      <c r="N89" s="25"/>
      <c r="O89" s="25"/>
      <c r="P89" s="25"/>
      <c r="Q89" s="25"/>
      <c r="R89" s="20" t="str">
        <f>IF(OR(A89="",LEN(A89)&lt;&gt;3),"",WORKDAY(WORKDAY(DATEVALUE("15/"&amp;VLOOKUP(LEFT(A89,1),$S$1:$U$13,3,FALSE)&amp;"/"&amp;20&amp;RIGHT(A89,2)),-1,Feriados!$A$2:$A$2000),1,Feriados!$A$2:$A$2000))</f>
        <v/>
      </c>
      <c r="S89" s="21" t="str">
        <f>IF(OR(R89="",R89="Cadastrar ativo na aba Banco de Códigos B3"),"",NETWORKDAYS($B$1,R89-1,Feriados!$A$2:$A$2000))</f>
        <v/>
      </c>
      <c r="T89" s="22" t="str">
        <f t="shared" si="1"/>
        <v/>
      </c>
    </row>
    <row r="90" spans="1:20" x14ac:dyDescent="0.25">
      <c r="A90" s="25"/>
      <c r="B90" s="25"/>
      <c r="C90" s="25"/>
      <c r="D90" s="25"/>
      <c r="E90" s="25"/>
      <c r="F90" s="25"/>
      <c r="G90" s="25"/>
      <c r="H90" s="25"/>
      <c r="I90" s="25"/>
      <c r="J90" s="25"/>
      <c r="K90" s="25"/>
      <c r="L90" s="25"/>
      <c r="M90" s="25"/>
      <c r="N90" s="25"/>
      <c r="O90" s="25"/>
      <c r="P90" s="25"/>
      <c r="Q90" s="25"/>
      <c r="R90" s="20" t="str">
        <f>IF(OR(A90="",LEN(A90)&lt;&gt;3),"",WORKDAY(WORKDAY(DATEVALUE("15/"&amp;VLOOKUP(LEFT(A90,1),$S$1:$U$13,3,FALSE)&amp;"/"&amp;20&amp;RIGHT(A90,2)),-1,Feriados!$A$2:$A$2000),1,Feriados!$A$2:$A$2000))</f>
        <v/>
      </c>
      <c r="S90" s="21" t="str">
        <f>IF(OR(R90="",R90="Cadastrar ativo na aba Banco de Códigos B3"),"",NETWORKDAYS($B$1,R90-1,Feriados!$A$2:$A$2000))</f>
        <v/>
      </c>
      <c r="T90" s="22" t="str">
        <f t="shared" si="1"/>
        <v/>
      </c>
    </row>
    <row r="91" spans="1:20" x14ac:dyDescent="0.25">
      <c r="A91" s="25"/>
      <c r="B91" s="25"/>
      <c r="C91" s="25"/>
      <c r="D91" s="25"/>
      <c r="E91" s="25"/>
      <c r="F91" s="25"/>
      <c r="G91" s="25"/>
      <c r="H91" s="25"/>
      <c r="I91" s="25"/>
      <c r="J91" s="25"/>
      <c r="K91" s="25"/>
      <c r="L91" s="25"/>
      <c r="M91" s="25"/>
      <c r="N91" s="25"/>
      <c r="O91" s="25"/>
      <c r="P91" s="25"/>
      <c r="Q91" s="25"/>
      <c r="R91" s="20" t="str">
        <f>IF(OR(A91="",LEN(A91)&lt;&gt;3),"",WORKDAY(WORKDAY(DATEVALUE("15/"&amp;VLOOKUP(LEFT(A91,1),$S$1:$U$13,3,FALSE)&amp;"/"&amp;20&amp;RIGHT(A91,2)),-1,Feriados!$A$2:$A$2000),1,Feriados!$A$2:$A$2000))</f>
        <v/>
      </c>
      <c r="S91" s="21" t="str">
        <f>IF(OR(R91="",R91="Cadastrar ativo na aba Banco de Códigos B3"),"",NETWORKDAYS($B$1,R91-1,Feriados!$A$2:$A$2000))</f>
        <v/>
      </c>
      <c r="T91" s="22" t="str">
        <f t="shared" si="1"/>
        <v/>
      </c>
    </row>
    <row r="92" spans="1:20" x14ac:dyDescent="0.25">
      <c r="A92" s="25"/>
      <c r="B92" s="25"/>
      <c r="C92" s="25"/>
      <c r="D92" s="25"/>
      <c r="E92" s="25"/>
      <c r="F92" s="25"/>
      <c r="G92" s="25"/>
      <c r="H92" s="25"/>
      <c r="I92" s="25"/>
      <c r="J92" s="25"/>
      <c r="K92" s="25"/>
      <c r="L92" s="25"/>
      <c r="M92" s="25"/>
      <c r="N92" s="25"/>
      <c r="O92" s="25"/>
      <c r="P92" s="25"/>
      <c r="Q92" s="25"/>
      <c r="R92" s="20" t="str">
        <f>IF(OR(A92="",LEN(A92)&lt;&gt;3),"",WORKDAY(WORKDAY(DATEVALUE("15/"&amp;VLOOKUP(LEFT(A92,1),$S$1:$U$13,3,FALSE)&amp;"/"&amp;20&amp;RIGHT(A92,2)),-1,Feriados!$A$2:$A$2000),1,Feriados!$A$2:$A$2000))</f>
        <v/>
      </c>
      <c r="S92" s="21" t="str">
        <f>IF(OR(R92="",R92="Cadastrar ativo na aba Banco de Códigos B3"),"",NETWORKDAYS($B$1,R92-1,Feriados!$A$2:$A$2000))</f>
        <v/>
      </c>
      <c r="T92" s="22" t="str">
        <f t="shared" si="1"/>
        <v/>
      </c>
    </row>
    <row r="93" spans="1:20" x14ac:dyDescent="0.25">
      <c r="A93" s="25"/>
      <c r="B93" s="25"/>
      <c r="C93" s="25"/>
      <c r="D93" s="25"/>
      <c r="E93" s="25"/>
      <c r="F93" s="25"/>
      <c r="G93" s="25"/>
      <c r="H93" s="25"/>
      <c r="I93" s="25"/>
      <c r="J93" s="25"/>
      <c r="K93" s="25"/>
      <c r="L93" s="25"/>
      <c r="M93" s="25"/>
      <c r="N93" s="25"/>
      <c r="O93" s="25"/>
      <c r="P93" s="25"/>
      <c r="Q93" s="25"/>
      <c r="R93" s="20" t="str">
        <f>IF(OR(A93="",LEN(A93)&lt;&gt;3),"",WORKDAY(WORKDAY(DATEVALUE("15/"&amp;VLOOKUP(LEFT(A93,1),$S$1:$U$13,3,FALSE)&amp;"/"&amp;20&amp;RIGHT(A93,2)),-1,Feriados!$A$2:$A$2000),1,Feriados!$A$2:$A$2000))</f>
        <v/>
      </c>
      <c r="S93" s="21" t="str">
        <f>IF(OR(R93="",R93="Cadastrar ativo na aba Banco de Códigos B3"),"",NETWORKDAYS($B$1,R93-1,Feriados!$A$2:$A$2000))</f>
        <v/>
      </c>
      <c r="T93" s="22" t="str">
        <f t="shared" si="1"/>
        <v/>
      </c>
    </row>
    <row r="94" spans="1:20" x14ac:dyDescent="0.25">
      <c r="A94" s="25"/>
      <c r="B94" s="25"/>
      <c r="C94" s="25"/>
      <c r="D94" s="25"/>
      <c r="E94" s="25"/>
      <c r="F94" s="25"/>
      <c r="G94" s="25"/>
      <c r="H94" s="25"/>
      <c r="I94" s="25"/>
      <c r="J94" s="25"/>
      <c r="K94" s="25"/>
      <c r="L94" s="25"/>
      <c r="M94" s="25"/>
      <c r="N94" s="25"/>
      <c r="O94" s="25"/>
      <c r="P94" s="25"/>
      <c r="Q94" s="25"/>
      <c r="R94" s="20" t="str">
        <f>IF(OR(A94="",LEN(A94)&lt;&gt;3),"",WORKDAY(WORKDAY(DATEVALUE("15/"&amp;VLOOKUP(LEFT(A94,1),$S$1:$U$13,3,FALSE)&amp;"/"&amp;20&amp;RIGHT(A94,2)),-1,Feriados!$A$2:$A$2000),1,Feriados!$A$2:$A$2000))</f>
        <v/>
      </c>
      <c r="S94" s="21" t="str">
        <f>IF(OR(R94="",R94="Cadastrar ativo na aba Banco de Códigos B3"),"",NETWORKDAYS($B$1,R94-1,Feriados!$A$2:$A$2000))</f>
        <v/>
      </c>
      <c r="T94" s="22" t="str">
        <f t="shared" si="1"/>
        <v/>
      </c>
    </row>
    <row r="95" spans="1:20" x14ac:dyDescent="0.25">
      <c r="A95" s="25"/>
      <c r="B95" s="25"/>
      <c r="C95" s="25"/>
      <c r="D95" s="25"/>
      <c r="E95" s="25"/>
      <c r="F95" s="25"/>
      <c r="G95" s="25"/>
      <c r="H95" s="25"/>
      <c r="I95" s="25"/>
      <c r="J95" s="25"/>
      <c r="K95" s="25"/>
      <c r="L95" s="25"/>
      <c r="M95" s="25"/>
      <c r="N95" s="25"/>
      <c r="O95" s="25"/>
      <c r="P95" s="25"/>
      <c r="Q95" s="25"/>
      <c r="R95" s="20" t="str">
        <f>IF(OR(A95="",LEN(A95)&lt;&gt;3),"",WORKDAY(WORKDAY(DATEVALUE("15/"&amp;VLOOKUP(LEFT(A95,1),$S$1:$U$13,3,FALSE)&amp;"/"&amp;20&amp;RIGHT(A95,2)),-1,Feriados!$A$2:$A$2000),1,Feriados!$A$2:$A$2000))</f>
        <v/>
      </c>
      <c r="S95" s="21" t="str">
        <f>IF(OR(R95="",R95="Cadastrar ativo na aba Banco de Códigos B3"),"",NETWORKDAYS($B$1,R95-1,Feriados!$A$2:$A$2000))</f>
        <v/>
      </c>
      <c r="T95" s="22" t="str">
        <f t="shared" si="1"/>
        <v/>
      </c>
    </row>
    <row r="96" spans="1:20" x14ac:dyDescent="0.25">
      <c r="A96" s="25"/>
      <c r="B96" s="25"/>
      <c r="C96" s="25"/>
      <c r="D96" s="25"/>
      <c r="E96" s="25"/>
      <c r="F96" s="25"/>
      <c r="G96" s="25"/>
      <c r="H96" s="25"/>
      <c r="I96" s="25"/>
      <c r="J96" s="25"/>
      <c r="K96" s="25"/>
      <c r="L96" s="25"/>
      <c r="M96" s="25"/>
      <c r="N96" s="25"/>
      <c r="O96" s="25"/>
      <c r="P96" s="25"/>
      <c r="Q96" s="25"/>
      <c r="R96" s="20" t="str">
        <f>IF(OR(A96="",LEN(A96)&lt;&gt;3),"",WORKDAY(WORKDAY(DATEVALUE("15/"&amp;VLOOKUP(LEFT(A96,1),$S$1:$U$13,3,FALSE)&amp;"/"&amp;20&amp;RIGHT(A96,2)),-1,Feriados!$A$2:$A$2000),1,Feriados!$A$2:$A$2000))</f>
        <v/>
      </c>
      <c r="S96" s="21" t="str">
        <f>IF(OR(R96="",R96="Cadastrar ativo na aba Banco de Códigos B3"),"",NETWORKDAYS($B$1,R96-1,Feriados!$A$2:$A$2000))</f>
        <v/>
      </c>
      <c r="T96" s="22" t="str">
        <f t="shared" si="1"/>
        <v/>
      </c>
    </row>
  </sheetData>
  <sheetProtection formatCells="0" formatColumns="0" formatRows="0"/>
  <mergeCells count="2">
    <mergeCell ref="G2:P2"/>
    <mergeCell ref="B5:K5"/>
  </mergeCells>
  <conditionalFormatting sqref="R19:R96">
    <cfRule type="cellIs" dxfId="3" priority="1" operator="equal">
      <formula>"Cadastrar ativo na aba Banco de Códigos B3"</formula>
    </cfRule>
  </conditionalFormatting>
  <hyperlinks>
    <hyperlink ref="B5" r:id="rId1" xr:uid="{00000000-0004-0000-0100-000000000000}"/>
    <hyperlink ref="G2" r:id="rId2" xr:uid="{00000000-0004-0000-0100-000001000000}"/>
  </hyperlinks>
  <pageMargins left="0.511811024" right="0.511811024" top="0.78740157499999996" bottom="0.78740157499999996" header="0.31496062000000002" footer="0.31496062000000002"/>
  <pageSetup paperSize="9" orientation="portrait" r:id="rId3"/>
  <headerFooter>
    <oddHeader>&amp;R&amp;"Calibri"&amp;10&amp;K000000#interna&amp;1#</oddHeader>
  </headerFooter>
  <ignoredErrors>
    <ignoredError sqref="U2:U13" numberStoredAsText="1"/>
    <ignoredError sqref="B3" unlockedFormula="1"/>
  </ignoredErrors>
  <drawing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618"/>
  <sheetViews>
    <sheetView workbookViewId="0">
      <selection activeCell="H1" sqref="H1"/>
    </sheetView>
  </sheetViews>
  <sheetFormatPr defaultColWidth="19.88671875" defaultRowHeight="14.4" x14ac:dyDescent="0.3"/>
  <cols>
    <col min="1" max="1" width="65.33203125" bestFit="1" customWidth="1"/>
    <col min="2" max="2" width="11.88671875" bestFit="1" customWidth="1"/>
    <col min="3" max="4" width="14.6640625" bestFit="1" customWidth="1"/>
    <col min="5" max="5" width="8.88671875" bestFit="1" customWidth="1"/>
    <col min="6" max="6" width="18" bestFit="1" customWidth="1"/>
  </cols>
  <sheetData>
    <row r="1" spans="1:8" x14ac:dyDescent="0.3">
      <c r="A1" t="s">
        <v>136</v>
      </c>
      <c r="H1" s="131" t="s">
        <v>344</v>
      </c>
    </row>
    <row r="3" spans="1:8" ht="28.8" x14ac:dyDescent="0.3">
      <c r="A3" s="105" t="s">
        <v>191</v>
      </c>
      <c r="B3" s="105" t="s">
        <v>6</v>
      </c>
      <c r="C3" s="105" t="s">
        <v>192</v>
      </c>
      <c r="D3" s="105" t="s">
        <v>193</v>
      </c>
      <c r="E3" s="105" t="s">
        <v>194</v>
      </c>
      <c r="F3" s="105" t="s">
        <v>195</v>
      </c>
    </row>
    <row r="4" spans="1:8" ht="30" customHeight="1" x14ac:dyDescent="0.3">
      <c r="A4" s="227" t="s">
        <v>196</v>
      </c>
      <c r="B4" s="106" t="s">
        <v>69</v>
      </c>
      <c r="C4" s="106">
        <v>13.16</v>
      </c>
      <c r="D4" s="106">
        <v>13.02</v>
      </c>
      <c r="E4" s="106">
        <v>-0.14000000000000001</v>
      </c>
      <c r="F4" s="106">
        <v>0.14000000000000001</v>
      </c>
    </row>
    <row r="5" spans="1:8" x14ac:dyDescent="0.3">
      <c r="A5" s="227"/>
      <c r="B5" s="106" t="s">
        <v>70</v>
      </c>
      <c r="C5" s="106">
        <v>13.27</v>
      </c>
      <c r="D5" s="106">
        <v>13.13</v>
      </c>
      <c r="E5" s="106">
        <v>-0.14000000000000001</v>
      </c>
      <c r="F5" s="106">
        <v>0.14000000000000001</v>
      </c>
    </row>
    <row r="6" spans="1:8" x14ac:dyDescent="0.3">
      <c r="A6" s="227"/>
      <c r="B6" s="106" t="s">
        <v>71</v>
      </c>
      <c r="C6" s="106">
        <v>13.42</v>
      </c>
      <c r="D6" s="106">
        <v>13.28</v>
      </c>
      <c r="E6" s="106">
        <v>-0.14000000000000001</v>
      </c>
      <c r="F6" s="106">
        <v>0.14000000000000001</v>
      </c>
    </row>
    <row r="7" spans="1:8" ht="15" customHeight="1" x14ac:dyDescent="0.3">
      <c r="A7" s="227" t="s">
        <v>197</v>
      </c>
      <c r="B7" s="106" t="s">
        <v>70</v>
      </c>
      <c r="C7" s="107">
        <v>17873.900000000001</v>
      </c>
      <c r="D7" s="107">
        <v>17939.099999999999</v>
      </c>
      <c r="E7" s="106">
        <v>65.2</v>
      </c>
      <c r="F7" s="106">
        <v>189</v>
      </c>
    </row>
    <row r="8" spans="1:8" x14ac:dyDescent="0.3">
      <c r="A8" s="227"/>
      <c r="B8" s="106" t="s">
        <v>71</v>
      </c>
      <c r="C8" s="107">
        <v>17923.2</v>
      </c>
      <c r="D8" s="107">
        <v>17987.8</v>
      </c>
      <c r="E8" s="106">
        <v>64.599999999999994</v>
      </c>
      <c r="F8" s="106">
        <v>187.26</v>
      </c>
    </row>
    <row r="9" spans="1:8" x14ac:dyDescent="0.3">
      <c r="A9" s="227"/>
      <c r="B9" s="106" t="s">
        <v>99</v>
      </c>
      <c r="C9" s="107">
        <v>17964</v>
      </c>
      <c r="D9" s="107">
        <v>18030.2</v>
      </c>
      <c r="E9" s="106">
        <v>66.2</v>
      </c>
      <c r="F9" s="106">
        <v>191.89</v>
      </c>
    </row>
    <row r="10" spans="1:8" x14ac:dyDescent="0.3">
      <c r="A10" s="227"/>
      <c r="B10" s="106" t="s">
        <v>100</v>
      </c>
      <c r="C10" s="107">
        <v>18009.599999999999</v>
      </c>
      <c r="D10" s="107">
        <v>18079.5</v>
      </c>
      <c r="E10" s="106">
        <v>69.900000000000006</v>
      </c>
      <c r="F10" s="106">
        <v>202.62</v>
      </c>
    </row>
    <row r="11" spans="1:8" x14ac:dyDescent="0.3">
      <c r="A11" s="227"/>
      <c r="B11" s="106" t="s">
        <v>72</v>
      </c>
      <c r="C11" s="107">
        <v>18049.8</v>
      </c>
      <c r="D11" s="107">
        <v>18117.099999999999</v>
      </c>
      <c r="E11" s="106">
        <v>67.3</v>
      </c>
      <c r="F11" s="106">
        <v>195.08</v>
      </c>
    </row>
    <row r="12" spans="1:8" ht="15" customHeight="1" x14ac:dyDescent="0.3">
      <c r="A12" s="227" t="s">
        <v>198</v>
      </c>
      <c r="B12" s="106" t="s">
        <v>70</v>
      </c>
      <c r="C12" s="106">
        <v>26.385999999999999</v>
      </c>
      <c r="D12" s="106">
        <v>26.492000000000001</v>
      </c>
      <c r="E12" s="106">
        <v>0.106</v>
      </c>
      <c r="F12" s="106">
        <v>15.9</v>
      </c>
    </row>
    <row r="13" spans="1:8" x14ac:dyDescent="0.3">
      <c r="A13" s="227"/>
      <c r="B13" s="106" t="s">
        <v>71</v>
      </c>
      <c r="C13" s="106">
        <v>24.791</v>
      </c>
      <c r="D13" s="106">
        <v>24.873999999999999</v>
      </c>
      <c r="E13" s="106">
        <v>8.3000000000000004E-2</v>
      </c>
      <c r="F13" s="106">
        <v>12.45</v>
      </c>
    </row>
    <row r="14" spans="1:8" x14ac:dyDescent="0.3">
      <c r="A14" s="227"/>
      <c r="B14" s="106" t="s">
        <v>99</v>
      </c>
      <c r="C14" s="106">
        <v>23.548999999999999</v>
      </c>
      <c r="D14" s="106">
        <v>23.648</v>
      </c>
      <c r="E14" s="106">
        <v>9.9000000000000005E-2</v>
      </c>
      <c r="F14" s="106">
        <v>14.85</v>
      </c>
    </row>
    <row r="15" spans="1:8" x14ac:dyDescent="0.3">
      <c r="A15" s="227"/>
      <c r="B15" s="106" t="s">
        <v>100</v>
      </c>
      <c r="C15" s="106">
        <v>22.221</v>
      </c>
      <c r="D15" s="106">
        <v>22.236999999999998</v>
      </c>
      <c r="E15" s="106">
        <v>1.6E-2</v>
      </c>
      <c r="F15" s="106">
        <v>2.4</v>
      </c>
    </row>
    <row r="16" spans="1:8" x14ac:dyDescent="0.3">
      <c r="A16" s="227"/>
      <c r="B16" s="106" t="s">
        <v>72</v>
      </c>
      <c r="C16" s="106">
        <v>21.074000000000002</v>
      </c>
      <c r="D16" s="106">
        <v>21.001999999999999</v>
      </c>
      <c r="E16" s="106">
        <v>-7.1999999999999995E-2</v>
      </c>
      <c r="F16" s="106">
        <v>10.8</v>
      </c>
    </row>
    <row r="17" spans="1:6" ht="15" customHeight="1" x14ac:dyDescent="0.3">
      <c r="A17" s="227" t="s">
        <v>199</v>
      </c>
      <c r="B17" s="106" t="s">
        <v>70</v>
      </c>
      <c r="C17" s="107">
        <v>196675.7</v>
      </c>
      <c r="D17" s="107">
        <v>196924.3</v>
      </c>
      <c r="E17" s="106">
        <v>248.6</v>
      </c>
      <c r="F17" s="106">
        <v>67.09</v>
      </c>
    </row>
    <row r="18" spans="1:6" x14ac:dyDescent="0.3">
      <c r="A18" s="227"/>
      <c r="B18" s="106" t="s">
        <v>71</v>
      </c>
      <c r="C18" s="107">
        <v>210721.5</v>
      </c>
      <c r="D18" s="107">
        <v>211119</v>
      </c>
      <c r="E18" s="106">
        <v>397.5</v>
      </c>
      <c r="F18" s="106">
        <v>107.28</v>
      </c>
    </row>
    <row r="19" spans="1:6" x14ac:dyDescent="0.3">
      <c r="A19" s="227"/>
      <c r="B19" s="106" t="s">
        <v>99</v>
      </c>
      <c r="C19" s="107">
        <v>222828</v>
      </c>
      <c r="D19" s="107">
        <v>223057.1</v>
      </c>
      <c r="E19" s="106">
        <v>229.1</v>
      </c>
      <c r="F19" s="106">
        <v>61.83</v>
      </c>
    </row>
    <row r="20" spans="1:6" x14ac:dyDescent="0.3">
      <c r="A20" s="227"/>
      <c r="B20" s="106" t="s">
        <v>100</v>
      </c>
      <c r="C20" s="107">
        <v>237623.8</v>
      </c>
      <c r="D20" s="107">
        <v>238696.8</v>
      </c>
      <c r="E20" s="107">
        <v>1073</v>
      </c>
      <c r="F20" s="106">
        <v>289.58999999999997</v>
      </c>
    </row>
    <row r="21" spans="1:6" x14ac:dyDescent="0.3">
      <c r="A21" s="227"/>
      <c r="B21" s="106" t="s">
        <v>72</v>
      </c>
      <c r="C21" s="107">
        <v>251981</v>
      </c>
      <c r="D21" s="107">
        <v>254158.6</v>
      </c>
      <c r="E21" s="107">
        <v>2177.6</v>
      </c>
      <c r="F21" s="106">
        <v>587.72</v>
      </c>
    </row>
    <row r="22" spans="1:6" ht="15" customHeight="1" x14ac:dyDescent="0.3">
      <c r="A22" s="227" t="s">
        <v>200</v>
      </c>
      <c r="B22" s="106" t="s">
        <v>70</v>
      </c>
      <c r="C22" s="107">
        <v>3620.355</v>
      </c>
      <c r="D22" s="107">
        <v>3641.9169999999999</v>
      </c>
      <c r="E22" s="106">
        <v>21.562000000000001</v>
      </c>
      <c r="F22" s="107">
        <v>1293.72</v>
      </c>
    </row>
    <row r="23" spans="1:6" x14ac:dyDescent="0.3">
      <c r="A23" s="227"/>
      <c r="B23" s="106" t="s">
        <v>71</v>
      </c>
      <c r="C23" s="107">
        <v>3648.5770000000002</v>
      </c>
      <c r="D23" s="107">
        <v>3670.078</v>
      </c>
      <c r="E23" s="106">
        <v>21.501000000000001</v>
      </c>
      <c r="F23" s="107">
        <v>1290.06</v>
      </c>
    </row>
    <row r="24" spans="1:6" x14ac:dyDescent="0.3">
      <c r="A24" s="227"/>
      <c r="B24" s="106" t="s">
        <v>99</v>
      </c>
      <c r="C24" s="107">
        <v>3668.38</v>
      </c>
      <c r="D24" s="107">
        <v>3690.1790000000001</v>
      </c>
      <c r="E24" s="106">
        <v>21.798999999999999</v>
      </c>
      <c r="F24" s="107">
        <v>1307.94</v>
      </c>
    </row>
    <row r="25" spans="1:6" x14ac:dyDescent="0.3">
      <c r="A25" s="227"/>
      <c r="B25" s="106" t="s">
        <v>100</v>
      </c>
      <c r="C25" s="107">
        <v>3695.346</v>
      </c>
      <c r="D25" s="107">
        <v>3717.451</v>
      </c>
      <c r="E25" s="106">
        <v>22.105</v>
      </c>
      <c r="F25" s="107">
        <v>1326.3</v>
      </c>
    </row>
    <row r="26" spans="1:6" x14ac:dyDescent="0.3">
      <c r="A26" s="227"/>
      <c r="B26" s="106" t="s">
        <v>72</v>
      </c>
      <c r="C26" s="107">
        <v>3720.0239999999999</v>
      </c>
      <c r="D26" s="107">
        <v>3741.9209999999998</v>
      </c>
      <c r="E26" s="106">
        <v>21.896999999999998</v>
      </c>
      <c r="F26" s="107">
        <v>1313.82</v>
      </c>
    </row>
    <row r="27" spans="1:6" ht="15" customHeight="1" x14ac:dyDescent="0.3">
      <c r="A27" s="227" t="s">
        <v>201</v>
      </c>
      <c r="B27" s="106" t="s">
        <v>70</v>
      </c>
      <c r="C27" s="106">
        <v>697.64499999999998</v>
      </c>
      <c r="D27" s="106">
        <v>698.10900000000004</v>
      </c>
      <c r="E27" s="106">
        <v>0.46400000000000002</v>
      </c>
      <c r="F27" s="106">
        <v>24.13</v>
      </c>
    </row>
    <row r="28" spans="1:6" x14ac:dyDescent="0.3">
      <c r="A28" s="227"/>
      <c r="B28" s="106" t="s">
        <v>71</v>
      </c>
      <c r="C28" s="106">
        <v>698.43100000000004</v>
      </c>
      <c r="D28" s="106">
        <v>698.87900000000002</v>
      </c>
      <c r="E28" s="106">
        <v>0.44800000000000001</v>
      </c>
      <c r="F28" s="106">
        <v>23.3</v>
      </c>
    </row>
    <row r="29" spans="1:6" x14ac:dyDescent="0.3">
      <c r="A29" s="227"/>
      <c r="B29" s="106" t="s">
        <v>99</v>
      </c>
      <c r="C29" s="106">
        <v>699.08600000000001</v>
      </c>
      <c r="D29" s="106">
        <v>699.56799999999998</v>
      </c>
      <c r="E29" s="106">
        <v>0.48199999999999998</v>
      </c>
      <c r="F29" s="106">
        <v>25.07</v>
      </c>
    </row>
    <row r="30" spans="1:6" x14ac:dyDescent="0.3">
      <c r="A30" s="227"/>
      <c r="B30" s="106" t="s">
        <v>100</v>
      </c>
      <c r="C30" s="106">
        <v>699.83600000000001</v>
      </c>
      <c r="D30" s="106">
        <v>700.34799999999996</v>
      </c>
      <c r="E30" s="106">
        <v>0.51200000000000001</v>
      </c>
      <c r="F30" s="106">
        <v>26.63</v>
      </c>
    </row>
    <row r="31" spans="1:6" x14ac:dyDescent="0.3">
      <c r="A31" s="227"/>
      <c r="B31" s="106" t="s">
        <v>72</v>
      </c>
      <c r="C31" s="106">
        <v>700.53200000000004</v>
      </c>
      <c r="D31" s="106">
        <v>701.03200000000004</v>
      </c>
      <c r="E31" s="106">
        <v>0.5</v>
      </c>
      <c r="F31" s="106">
        <v>26</v>
      </c>
    </row>
    <row r="32" spans="1:6" ht="30" customHeight="1" x14ac:dyDescent="0.3">
      <c r="A32" s="227" t="s">
        <v>202</v>
      </c>
      <c r="B32" s="106" t="s">
        <v>69</v>
      </c>
      <c r="C32" s="106">
        <v>11.94</v>
      </c>
      <c r="D32" s="106">
        <v>11.46</v>
      </c>
      <c r="E32" s="106">
        <v>-0.48</v>
      </c>
      <c r="F32" s="106">
        <v>0.48</v>
      </c>
    </row>
    <row r="33" spans="1:6" x14ac:dyDescent="0.3">
      <c r="A33" s="227"/>
      <c r="B33" s="106" t="s">
        <v>70</v>
      </c>
      <c r="C33" s="106">
        <v>12.05</v>
      </c>
      <c r="D33" s="106">
        <v>11.56</v>
      </c>
      <c r="E33" s="106">
        <v>-0.49</v>
      </c>
      <c r="F33" s="106">
        <v>0.49</v>
      </c>
    </row>
    <row r="34" spans="1:6" x14ac:dyDescent="0.3">
      <c r="A34" s="227"/>
      <c r="B34" s="106" t="s">
        <v>71</v>
      </c>
      <c r="C34" s="106">
        <v>12.2</v>
      </c>
      <c r="D34" s="106">
        <v>11.7</v>
      </c>
      <c r="E34" s="106">
        <v>-0.5</v>
      </c>
      <c r="F34" s="106">
        <v>0.5</v>
      </c>
    </row>
    <row r="35" spans="1:6" ht="30" customHeight="1" x14ac:dyDescent="0.3">
      <c r="A35" s="227" t="s">
        <v>203</v>
      </c>
      <c r="B35" s="106" t="s">
        <v>69</v>
      </c>
      <c r="C35" s="106">
        <v>40.68</v>
      </c>
      <c r="D35" s="106">
        <v>41.61</v>
      </c>
      <c r="E35" s="106">
        <v>0.93</v>
      </c>
      <c r="F35" s="106">
        <v>0.93</v>
      </c>
    </row>
    <row r="36" spans="1:6" x14ac:dyDescent="0.3">
      <c r="A36" s="227"/>
      <c r="B36" s="106" t="s">
        <v>70</v>
      </c>
      <c r="C36" s="106">
        <v>41.06</v>
      </c>
      <c r="D36" s="106">
        <v>41.99</v>
      </c>
      <c r="E36" s="106">
        <v>0.93</v>
      </c>
      <c r="F36" s="106">
        <v>0.93</v>
      </c>
    </row>
    <row r="37" spans="1:6" x14ac:dyDescent="0.3">
      <c r="A37" s="227"/>
      <c r="B37" s="106" t="s">
        <v>71</v>
      </c>
      <c r="C37" s="106">
        <v>41.54</v>
      </c>
      <c r="D37" s="106">
        <v>42.48</v>
      </c>
      <c r="E37" s="106">
        <v>0.94</v>
      </c>
      <c r="F37" s="106">
        <v>0.94</v>
      </c>
    </row>
    <row r="38" spans="1:6" ht="30" customHeight="1" x14ac:dyDescent="0.3">
      <c r="A38" s="227" t="s">
        <v>204</v>
      </c>
      <c r="B38" s="106" t="s">
        <v>69</v>
      </c>
      <c r="C38" s="106">
        <v>13.15</v>
      </c>
      <c r="D38" s="106">
        <v>13.26</v>
      </c>
      <c r="E38" s="106">
        <v>0.11</v>
      </c>
      <c r="F38" s="106">
        <v>0.11</v>
      </c>
    </row>
    <row r="39" spans="1:6" x14ac:dyDescent="0.3">
      <c r="A39" s="227"/>
      <c r="B39" s="106" t="s">
        <v>70</v>
      </c>
      <c r="C39" s="106">
        <v>13.27</v>
      </c>
      <c r="D39" s="106">
        <v>13.38</v>
      </c>
      <c r="E39" s="106">
        <v>0.11</v>
      </c>
      <c r="F39" s="106">
        <v>0.11</v>
      </c>
    </row>
    <row r="40" spans="1:6" x14ac:dyDescent="0.3">
      <c r="A40" s="227"/>
      <c r="B40" s="106" t="s">
        <v>71</v>
      </c>
      <c r="C40" s="106">
        <v>13.42</v>
      </c>
      <c r="D40" s="106">
        <v>13.54</v>
      </c>
      <c r="E40" s="106">
        <v>0.12</v>
      </c>
      <c r="F40" s="106">
        <v>0.12</v>
      </c>
    </row>
    <row r="41" spans="1:6" x14ac:dyDescent="0.3">
      <c r="A41" s="227" t="s">
        <v>205</v>
      </c>
      <c r="B41" s="106" t="s">
        <v>69</v>
      </c>
      <c r="C41" s="106">
        <v>300.45</v>
      </c>
      <c r="D41" s="106">
        <v>300.75</v>
      </c>
      <c r="E41" s="106">
        <v>0.3</v>
      </c>
      <c r="F41" s="106">
        <v>99</v>
      </c>
    </row>
    <row r="42" spans="1:6" x14ac:dyDescent="0.3">
      <c r="A42" s="227"/>
      <c r="B42" s="106" t="s">
        <v>70</v>
      </c>
      <c r="C42" s="106">
        <v>305.35000000000002</v>
      </c>
      <c r="D42" s="106">
        <v>305.35000000000002</v>
      </c>
      <c r="E42" s="106">
        <v>0</v>
      </c>
      <c r="F42" s="106">
        <v>0</v>
      </c>
    </row>
    <row r="43" spans="1:6" x14ac:dyDescent="0.3">
      <c r="A43" s="227"/>
      <c r="B43" s="106" t="s">
        <v>71</v>
      </c>
      <c r="C43" s="106">
        <v>299.89999999999998</v>
      </c>
      <c r="D43" s="106">
        <v>301.55</v>
      </c>
      <c r="E43" s="106">
        <v>1.65</v>
      </c>
      <c r="F43" s="106">
        <v>544.5</v>
      </c>
    </row>
    <row r="44" spans="1:6" x14ac:dyDescent="0.3">
      <c r="A44" s="227"/>
      <c r="B44" s="106" t="s">
        <v>99</v>
      </c>
      <c r="C44" s="106">
        <v>296.35000000000002</v>
      </c>
      <c r="D44" s="106">
        <v>297.10000000000002</v>
      </c>
      <c r="E44" s="106">
        <v>0.75</v>
      </c>
      <c r="F44" s="106">
        <v>247.5</v>
      </c>
    </row>
    <row r="45" spans="1:6" x14ac:dyDescent="0.3">
      <c r="A45" s="227"/>
      <c r="B45" s="106" t="s">
        <v>100</v>
      </c>
      <c r="C45" s="106">
        <v>291.05</v>
      </c>
      <c r="D45" s="106">
        <v>291.8</v>
      </c>
      <c r="E45" s="106">
        <v>0.75</v>
      </c>
      <c r="F45" s="106">
        <v>247.5</v>
      </c>
    </row>
    <row r="46" spans="1:6" x14ac:dyDescent="0.3">
      <c r="A46" s="227"/>
      <c r="B46" s="106" t="s">
        <v>72</v>
      </c>
      <c r="C46" s="106">
        <v>299.14999999999998</v>
      </c>
      <c r="D46" s="106">
        <v>299.14999999999998</v>
      </c>
      <c r="E46" s="106">
        <v>0</v>
      </c>
      <c r="F46" s="106">
        <v>0</v>
      </c>
    </row>
    <row r="47" spans="1:6" x14ac:dyDescent="0.3">
      <c r="A47" s="227"/>
      <c r="B47" s="106" t="s">
        <v>101</v>
      </c>
      <c r="C47" s="106">
        <v>284.2</v>
      </c>
      <c r="D47" s="106">
        <v>284.2</v>
      </c>
      <c r="E47" s="106">
        <v>0</v>
      </c>
      <c r="F47" s="106">
        <v>0</v>
      </c>
    </row>
    <row r="48" spans="1:6" x14ac:dyDescent="0.3">
      <c r="A48" s="227"/>
      <c r="B48" s="106" t="s">
        <v>102</v>
      </c>
      <c r="C48" s="106">
        <v>291.89999999999998</v>
      </c>
      <c r="D48" s="106">
        <v>291.89999999999998</v>
      </c>
      <c r="E48" s="106">
        <v>0</v>
      </c>
      <c r="F48" s="106">
        <v>0</v>
      </c>
    </row>
    <row r="49" spans="1:6" x14ac:dyDescent="0.3">
      <c r="A49" s="227"/>
      <c r="B49" s="106" t="s">
        <v>73</v>
      </c>
      <c r="C49" s="106">
        <v>300.55</v>
      </c>
      <c r="D49" s="106">
        <v>300.55</v>
      </c>
      <c r="E49" s="106">
        <v>0</v>
      </c>
      <c r="F49" s="106">
        <v>0</v>
      </c>
    </row>
    <row r="50" spans="1:6" x14ac:dyDescent="0.3">
      <c r="A50" s="227"/>
      <c r="B50" s="106" t="s">
        <v>103</v>
      </c>
      <c r="C50" s="106">
        <v>295.8</v>
      </c>
      <c r="D50" s="106">
        <v>295.8</v>
      </c>
      <c r="E50" s="106">
        <v>0</v>
      </c>
      <c r="F50" s="106">
        <v>0</v>
      </c>
    </row>
    <row r="51" spans="1:6" x14ac:dyDescent="0.3">
      <c r="A51" s="227"/>
      <c r="B51" s="106" t="s">
        <v>104</v>
      </c>
      <c r="C51" s="106">
        <v>295.89999999999998</v>
      </c>
      <c r="D51" s="106">
        <v>295.89999999999998</v>
      </c>
      <c r="E51" s="106">
        <v>0</v>
      </c>
      <c r="F51" s="106">
        <v>0</v>
      </c>
    </row>
    <row r="52" spans="1:6" ht="45" customHeight="1" x14ac:dyDescent="0.3">
      <c r="A52" s="227" t="s">
        <v>206</v>
      </c>
      <c r="B52" s="106" t="s">
        <v>71</v>
      </c>
      <c r="C52" s="108">
        <v>18646</v>
      </c>
      <c r="D52" s="108">
        <v>18488</v>
      </c>
      <c r="E52" s="106">
        <v>-158</v>
      </c>
      <c r="F52" s="107">
        <v>1580</v>
      </c>
    </row>
    <row r="53" spans="1:6" x14ac:dyDescent="0.3">
      <c r="A53" s="227"/>
      <c r="B53" s="106" t="s">
        <v>100</v>
      </c>
      <c r="C53" s="108">
        <v>19009</v>
      </c>
      <c r="D53" s="108">
        <v>18847</v>
      </c>
      <c r="E53" s="106">
        <v>-162</v>
      </c>
      <c r="F53" s="107">
        <v>1620</v>
      </c>
    </row>
    <row r="54" spans="1:6" ht="15" customHeight="1" x14ac:dyDescent="0.3">
      <c r="A54" s="227" t="s">
        <v>207</v>
      </c>
      <c r="B54" s="106" t="s">
        <v>70</v>
      </c>
      <c r="C54" s="107">
        <v>3892.498</v>
      </c>
      <c r="D54" s="107">
        <v>3906.8870000000002</v>
      </c>
      <c r="E54" s="106">
        <v>14.388999999999999</v>
      </c>
      <c r="F54" s="106">
        <v>863.34</v>
      </c>
    </row>
    <row r="55" spans="1:6" x14ac:dyDescent="0.3">
      <c r="A55" s="227"/>
      <c r="B55" s="106" t="s">
        <v>71</v>
      </c>
      <c r="C55" s="107">
        <v>3919.44</v>
      </c>
      <c r="D55" s="107">
        <v>3933.79</v>
      </c>
      <c r="E55" s="106">
        <v>14.35</v>
      </c>
      <c r="F55" s="106">
        <v>861</v>
      </c>
    </row>
    <row r="56" spans="1:6" x14ac:dyDescent="0.3">
      <c r="A56" s="227"/>
      <c r="B56" s="106" t="s">
        <v>99</v>
      </c>
      <c r="C56" s="107">
        <v>3938.2539999999999</v>
      </c>
      <c r="D56" s="107">
        <v>3952.6779999999999</v>
      </c>
      <c r="E56" s="106">
        <v>14.423999999999999</v>
      </c>
      <c r="F56" s="106">
        <v>865.44</v>
      </c>
    </row>
    <row r="57" spans="1:6" x14ac:dyDescent="0.3">
      <c r="A57" s="227"/>
      <c r="B57" s="106" t="s">
        <v>100</v>
      </c>
      <c r="C57" s="107">
        <v>3964.7579999999998</v>
      </c>
      <c r="D57" s="107">
        <v>3979.1779999999999</v>
      </c>
      <c r="E57" s="106">
        <v>14.42</v>
      </c>
      <c r="F57" s="106">
        <v>865.2</v>
      </c>
    </row>
    <row r="58" spans="1:6" x14ac:dyDescent="0.3">
      <c r="A58" s="227"/>
      <c r="B58" s="106" t="s">
        <v>72</v>
      </c>
      <c r="C58" s="107">
        <v>3989.1779999999999</v>
      </c>
      <c r="D58" s="107">
        <v>4003.442</v>
      </c>
      <c r="E58" s="106">
        <v>14.263999999999999</v>
      </c>
      <c r="F58" s="106">
        <v>855.84</v>
      </c>
    </row>
    <row r="59" spans="1:6" ht="15" customHeight="1" x14ac:dyDescent="0.3">
      <c r="A59" s="227" t="s">
        <v>208</v>
      </c>
      <c r="B59" s="106" t="s">
        <v>70</v>
      </c>
      <c r="C59" s="107">
        <v>1333.1780000000001</v>
      </c>
      <c r="D59" s="107">
        <v>1335.2919999999999</v>
      </c>
      <c r="E59" s="106">
        <v>2.1139999999999999</v>
      </c>
      <c r="F59" s="106">
        <v>82.02</v>
      </c>
    </row>
    <row r="60" spans="1:6" x14ac:dyDescent="0.3">
      <c r="A60" s="227"/>
      <c r="B60" s="106" t="s">
        <v>71</v>
      </c>
      <c r="C60" s="107">
        <v>1332.8340000000001</v>
      </c>
      <c r="D60" s="107">
        <v>1334.941</v>
      </c>
      <c r="E60" s="106">
        <v>2.1070000000000002</v>
      </c>
      <c r="F60" s="106">
        <v>81.75</v>
      </c>
    </row>
    <row r="61" spans="1:6" x14ac:dyDescent="0.3">
      <c r="A61" s="227"/>
      <c r="B61" s="106" t="s">
        <v>99</v>
      </c>
      <c r="C61" s="107">
        <v>1332.4159999999999</v>
      </c>
      <c r="D61" s="107">
        <v>1334.5229999999999</v>
      </c>
      <c r="E61" s="106">
        <v>2.1070000000000002</v>
      </c>
      <c r="F61" s="106">
        <v>81.75</v>
      </c>
    </row>
    <row r="62" spans="1:6" x14ac:dyDescent="0.3">
      <c r="A62" s="227"/>
      <c r="B62" s="106" t="s">
        <v>100</v>
      </c>
      <c r="C62" s="107">
        <v>1331.81</v>
      </c>
      <c r="D62" s="107">
        <v>1333.9449999999999</v>
      </c>
      <c r="E62" s="106">
        <v>2.1349999999999998</v>
      </c>
      <c r="F62" s="106">
        <v>82.84</v>
      </c>
    </row>
    <row r="63" spans="1:6" x14ac:dyDescent="0.3">
      <c r="A63" s="227"/>
      <c r="B63" s="106" t="s">
        <v>72</v>
      </c>
      <c r="C63" s="107">
        <v>1331.173</v>
      </c>
      <c r="D63" s="107">
        <v>1333.2860000000001</v>
      </c>
      <c r="E63" s="106">
        <v>2.113</v>
      </c>
      <c r="F63" s="106">
        <v>81.99</v>
      </c>
    </row>
    <row r="64" spans="1:6" x14ac:dyDescent="0.3">
      <c r="A64" s="227" t="s">
        <v>209</v>
      </c>
      <c r="B64" s="106" t="s">
        <v>70</v>
      </c>
      <c r="C64" s="106">
        <v>89.38</v>
      </c>
      <c r="D64" s="106">
        <v>88.9</v>
      </c>
      <c r="E64" s="106">
        <v>-0.48</v>
      </c>
      <c r="F64" s="106">
        <v>216</v>
      </c>
    </row>
    <row r="65" spans="1:6" x14ac:dyDescent="0.3">
      <c r="A65" s="227"/>
      <c r="B65" s="106" t="s">
        <v>99</v>
      </c>
      <c r="C65" s="106">
        <v>90.95</v>
      </c>
      <c r="D65" s="106">
        <v>90.77</v>
      </c>
      <c r="E65" s="106">
        <v>-0.18</v>
      </c>
      <c r="F65" s="106">
        <v>81</v>
      </c>
    </row>
    <row r="66" spans="1:6" x14ac:dyDescent="0.3">
      <c r="A66" s="227"/>
      <c r="B66" s="106" t="s">
        <v>72</v>
      </c>
      <c r="C66" s="106">
        <v>88.42</v>
      </c>
      <c r="D66" s="106">
        <v>88.78</v>
      </c>
      <c r="E66" s="106">
        <v>0.36</v>
      </c>
      <c r="F66" s="106">
        <v>162</v>
      </c>
    </row>
    <row r="67" spans="1:6" x14ac:dyDescent="0.3">
      <c r="A67" s="227"/>
      <c r="B67" s="106" t="s">
        <v>102</v>
      </c>
      <c r="C67" s="106">
        <v>88.18</v>
      </c>
      <c r="D67" s="106">
        <v>88.54</v>
      </c>
      <c r="E67" s="106">
        <v>0.36</v>
      </c>
      <c r="F67" s="106">
        <v>162</v>
      </c>
    </row>
    <row r="68" spans="1:6" x14ac:dyDescent="0.3">
      <c r="A68" s="227"/>
      <c r="B68" s="106" t="s">
        <v>103</v>
      </c>
      <c r="C68" s="106">
        <v>89.97</v>
      </c>
      <c r="D68" s="106">
        <v>90.34</v>
      </c>
      <c r="E68" s="106">
        <v>0.37</v>
      </c>
      <c r="F68" s="106">
        <v>166.5</v>
      </c>
    </row>
    <row r="69" spans="1:6" x14ac:dyDescent="0.3">
      <c r="A69" s="227"/>
      <c r="B69" s="106" t="s">
        <v>74</v>
      </c>
      <c r="C69" s="106">
        <v>93.45</v>
      </c>
      <c r="D69" s="106">
        <v>93.55</v>
      </c>
      <c r="E69" s="106">
        <v>0.1</v>
      </c>
      <c r="F69" s="106">
        <v>45</v>
      </c>
    </row>
    <row r="70" spans="1:6" x14ac:dyDescent="0.3">
      <c r="A70" s="227"/>
      <c r="B70" s="106" t="s">
        <v>210</v>
      </c>
      <c r="C70" s="106">
        <v>91</v>
      </c>
      <c r="D70" s="106">
        <v>91.1</v>
      </c>
      <c r="E70" s="106">
        <v>0.1</v>
      </c>
      <c r="F70" s="106">
        <v>45</v>
      </c>
    </row>
    <row r="71" spans="1:6" x14ac:dyDescent="0.3">
      <c r="A71" s="227"/>
      <c r="B71" s="106" t="s">
        <v>211</v>
      </c>
      <c r="C71" s="106">
        <v>87.45</v>
      </c>
      <c r="D71" s="106">
        <v>88.17</v>
      </c>
      <c r="E71" s="106">
        <v>0.72</v>
      </c>
      <c r="F71" s="106">
        <v>324</v>
      </c>
    </row>
    <row r="72" spans="1:6" ht="45" customHeight="1" x14ac:dyDescent="0.3">
      <c r="A72" s="227" t="s">
        <v>212</v>
      </c>
      <c r="B72" s="106" t="s">
        <v>69</v>
      </c>
      <c r="C72" s="106">
        <v>11.27</v>
      </c>
      <c r="D72" s="106">
        <v>11.08</v>
      </c>
      <c r="E72" s="106">
        <v>-0.19</v>
      </c>
      <c r="F72" s="106">
        <v>0.19</v>
      </c>
    </row>
    <row r="73" spans="1:6" x14ac:dyDescent="0.3">
      <c r="A73" s="227"/>
      <c r="B73" s="106" t="s">
        <v>70</v>
      </c>
      <c r="C73" s="106">
        <v>11.37</v>
      </c>
      <c r="D73" s="106">
        <v>11.18</v>
      </c>
      <c r="E73" s="106">
        <v>-0.19</v>
      </c>
      <c r="F73" s="106">
        <v>0.19</v>
      </c>
    </row>
    <row r="74" spans="1:6" x14ac:dyDescent="0.3">
      <c r="A74" s="227"/>
      <c r="B74" s="106" t="s">
        <v>71</v>
      </c>
      <c r="C74" s="106">
        <v>11.5</v>
      </c>
      <c r="D74" s="106">
        <v>11.3</v>
      </c>
      <c r="E74" s="106">
        <v>-0.2</v>
      </c>
      <c r="F74" s="106">
        <v>0.2</v>
      </c>
    </row>
    <row r="75" spans="1:6" ht="15" customHeight="1" x14ac:dyDescent="0.3">
      <c r="A75" s="227" t="s">
        <v>213</v>
      </c>
      <c r="B75" s="106" t="s">
        <v>70</v>
      </c>
      <c r="C75" s="107">
        <v>5652.9319999999998</v>
      </c>
      <c r="D75" s="107">
        <v>5669.2389999999996</v>
      </c>
      <c r="E75" s="106">
        <v>16.306999999999999</v>
      </c>
      <c r="F75" s="106">
        <v>815.35</v>
      </c>
    </row>
    <row r="76" spans="1:6" x14ac:dyDescent="0.3">
      <c r="A76" s="227"/>
      <c r="B76" s="106" t="s">
        <v>71</v>
      </c>
      <c r="C76" s="107">
        <v>5709.8739999999998</v>
      </c>
      <c r="D76" s="107">
        <v>5725.4449999999997</v>
      </c>
      <c r="E76" s="106">
        <v>15.571</v>
      </c>
      <c r="F76" s="106">
        <v>778.55</v>
      </c>
    </row>
    <row r="77" spans="1:6" x14ac:dyDescent="0.3">
      <c r="A77" s="227"/>
      <c r="B77" s="106" t="s">
        <v>99</v>
      </c>
      <c r="C77" s="107">
        <v>5751.826</v>
      </c>
      <c r="D77" s="107">
        <v>5768.1130000000003</v>
      </c>
      <c r="E77" s="106">
        <v>16.286999999999999</v>
      </c>
      <c r="F77" s="106">
        <v>814.35</v>
      </c>
    </row>
    <row r="78" spans="1:6" x14ac:dyDescent="0.3">
      <c r="A78" s="227"/>
      <c r="B78" s="106" t="s">
        <v>100</v>
      </c>
      <c r="C78" s="107">
        <v>5808.2759999999998</v>
      </c>
      <c r="D78" s="107">
        <v>5824.6490000000003</v>
      </c>
      <c r="E78" s="106">
        <v>16.373000000000001</v>
      </c>
      <c r="F78" s="106">
        <v>818.65</v>
      </c>
    </row>
    <row r="79" spans="1:6" x14ac:dyDescent="0.3">
      <c r="A79" s="227"/>
      <c r="B79" s="106" t="s">
        <v>72</v>
      </c>
      <c r="C79" s="107">
        <v>5860.5950000000003</v>
      </c>
      <c r="D79" s="107">
        <v>5876.6180000000004</v>
      </c>
      <c r="E79" s="106">
        <v>16.023</v>
      </c>
      <c r="F79" s="106">
        <v>801.15</v>
      </c>
    </row>
    <row r="80" spans="1:6" x14ac:dyDescent="0.3">
      <c r="A80" s="227" t="s">
        <v>214</v>
      </c>
      <c r="B80" s="106" t="s">
        <v>70</v>
      </c>
      <c r="C80" s="107">
        <v>794711.3</v>
      </c>
      <c r="D80" s="107">
        <v>787518.2</v>
      </c>
      <c r="E80" s="107">
        <v>-7193.1</v>
      </c>
      <c r="F80" s="106">
        <v>469.35</v>
      </c>
    </row>
    <row r="81" spans="1:6" x14ac:dyDescent="0.3">
      <c r="A81" s="227"/>
      <c r="B81" s="106" t="s">
        <v>71</v>
      </c>
      <c r="C81" s="107">
        <v>798608.5</v>
      </c>
      <c r="D81" s="107">
        <v>791315.1</v>
      </c>
      <c r="E81" s="107">
        <v>-7293.4</v>
      </c>
      <c r="F81" s="106">
        <v>475.9</v>
      </c>
    </row>
    <row r="82" spans="1:6" x14ac:dyDescent="0.3">
      <c r="A82" s="227"/>
      <c r="B82" s="106" t="s">
        <v>99</v>
      </c>
      <c r="C82" s="107">
        <v>801912.7</v>
      </c>
      <c r="D82" s="107">
        <v>794782.7</v>
      </c>
      <c r="E82" s="107">
        <v>-7130</v>
      </c>
      <c r="F82" s="106">
        <v>465.23</v>
      </c>
    </row>
    <row r="83" spans="1:6" x14ac:dyDescent="0.3">
      <c r="A83" s="227"/>
      <c r="B83" s="106" t="s">
        <v>100</v>
      </c>
      <c r="C83" s="107">
        <v>805640.1</v>
      </c>
      <c r="D83" s="107">
        <v>798565.8</v>
      </c>
      <c r="E83" s="107">
        <v>-7074.3</v>
      </c>
      <c r="F83" s="106">
        <v>461.6</v>
      </c>
    </row>
    <row r="84" spans="1:6" x14ac:dyDescent="0.3">
      <c r="A84" s="227"/>
      <c r="B84" s="106" t="s">
        <v>72</v>
      </c>
      <c r="C84" s="107">
        <v>808453.5</v>
      </c>
      <c r="D84" s="107">
        <v>801416.5</v>
      </c>
      <c r="E84" s="107">
        <v>-7037</v>
      </c>
      <c r="F84" s="106">
        <v>459.17</v>
      </c>
    </row>
    <row r="85" spans="1:6" ht="30" customHeight="1" x14ac:dyDescent="0.3">
      <c r="A85" s="227" t="s">
        <v>215</v>
      </c>
      <c r="B85" s="106" t="s">
        <v>69</v>
      </c>
      <c r="C85" s="106">
        <v>5.36</v>
      </c>
      <c r="D85" s="106">
        <v>5.24</v>
      </c>
      <c r="E85" s="106">
        <v>-0.12</v>
      </c>
      <c r="F85" s="106">
        <v>0.12</v>
      </c>
    </row>
    <row r="86" spans="1:6" x14ac:dyDescent="0.3">
      <c r="A86" s="227"/>
      <c r="B86" s="106" t="s">
        <v>70</v>
      </c>
      <c r="C86" s="106">
        <v>5.41</v>
      </c>
      <c r="D86" s="106">
        <v>5.29</v>
      </c>
      <c r="E86" s="106">
        <v>-0.12</v>
      </c>
      <c r="F86" s="106">
        <v>0.12</v>
      </c>
    </row>
    <row r="87" spans="1:6" x14ac:dyDescent="0.3">
      <c r="A87" s="227"/>
      <c r="B87" s="106" t="s">
        <v>71</v>
      </c>
      <c r="C87" s="106">
        <v>5.47</v>
      </c>
      <c r="D87" s="106">
        <v>5.35</v>
      </c>
      <c r="E87" s="106">
        <v>-0.12</v>
      </c>
      <c r="F87" s="106">
        <v>0.12</v>
      </c>
    </row>
    <row r="88" spans="1:6" ht="15" customHeight="1" x14ac:dyDescent="0.3">
      <c r="A88" s="227" t="s">
        <v>216</v>
      </c>
      <c r="B88" s="106" t="s">
        <v>70</v>
      </c>
      <c r="C88" s="107">
        <v>6529.9</v>
      </c>
      <c r="D88" s="107">
        <v>6624.4</v>
      </c>
      <c r="E88" s="106">
        <v>94.5</v>
      </c>
      <c r="F88" s="107">
        <v>2362.5</v>
      </c>
    </row>
    <row r="89" spans="1:6" x14ac:dyDescent="0.3">
      <c r="A89" s="227"/>
      <c r="B89" s="106" t="s">
        <v>71</v>
      </c>
      <c r="C89" s="107">
        <v>6541.3</v>
      </c>
      <c r="D89" s="107">
        <v>6636.3</v>
      </c>
      <c r="E89" s="106">
        <v>95</v>
      </c>
      <c r="F89" s="107">
        <v>2375</v>
      </c>
    </row>
    <row r="90" spans="1:6" x14ac:dyDescent="0.3">
      <c r="A90" s="227"/>
      <c r="B90" s="106" t="s">
        <v>99</v>
      </c>
      <c r="C90" s="107">
        <v>6543.5</v>
      </c>
      <c r="D90" s="107">
        <v>6636.9</v>
      </c>
      <c r="E90" s="106">
        <v>93.4</v>
      </c>
      <c r="F90" s="107">
        <v>2335</v>
      </c>
    </row>
    <row r="91" spans="1:6" x14ac:dyDescent="0.3">
      <c r="A91" s="227"/>
      <c r="B91" s="106" t="s">
        <v>100</v>
      </c>
      <c r="C91" s="107">
        <v>6554.1</v>
      </c>
      <c r="D91" s="107">
        <v>6646.9</v>
      </c>
      <c r="E91" s="106">
        <v>92.8</v>
      </c>
      <c r="F91" s="107">
        <v>2320</v>
      </c>
    </row>
    <row r="92" spans="1:6" x14ac:dyDescent="0.3">
      <c r="A92" s="227"/>
      <c r="B92" s="106" t="s">
        <v>72</v>
      </c>
      <c r="C92" s="107">
        <v>6568.4</v>
      </c>
      <c r="D92" s="107">
        <v>6660.4</v>
      </c>
      <c r="E92" s="106">
        <v>92</v>
      </c>
      <c r="F92" s="107">
        <v>2300</v>
      </c>
    </row>
    <row r="93" spans="1:6" ht="30" customHeight="1" x14ac:dyDescent="0.3">
      <c r="A93" s="227" t="s">
        <v>217</v>
      </c>
      <c r="B93" s="106" t="s">
        <v>69</v>
      </c>
      <c r="C93" s="106">
        <v>11.03</v>
      </c>
      <c r="D93" s="106">
        <v>10.93</v>
      </c>
      <c r="E93" s="106">
        <v>-0.1</v>
      </c>
      <c r="F93" s="106">
        <v>0.1</v>
      </c>
    </row>
    <row r="94" spans="1:6" x14ac:dyDescent="0.3">
      <c r="A94" s="227"/>
      <c r="B94" s="106" t="s">
        <v>70</v>
      </c>
      <c r="C94" s="106">
        <v>11.13</v>
      </c>
      <c r="D94" s="106">
        <v>11.03</v>
      </c>
      <c r="E94" s="106">
        <v>-0.1</v>
      </c>
      <c r="F94" s="106">
        <v>0.1</v>
      </c>
    </row>
    <row r="95" spans="1:6" x14ac:dyDescent="0.3">
      <c r="A95" s="227"/>
      <c r="B95" s="106" t="s">
        <v>71</v>
      </c>
      <c r="C95" s="106">
        <v>11.26</v>
      </c>
      <c r="D95" s="106">
        <v>11.16</v>
      </c>
      <c r="E95" s="106">
        <v>-0.1</v>
      </c>
      <c r="F95" s="106">
        <v>0.1</v>
      </c>
    </row>
    <row r="96" spans="1:6" ht="15" customHeight="1" x14ac:dyDescent="0.3">
      <c r="A96" s="227" t="s">
        <v>218</v>
      </c>
      <c r="B96" s="106" t="s">
        <v>70</v>
      </c>
      <c r="C96" s="107">
        <v>6814.232</v>
      </c>
      <c r="D96" s="107">
        <v>6832.0730000000003</v>
      </c>
      <c r="E96" s="106">
        <v>17.841000000000001</v>
      </c>
      <c r="F96" s="106">
        <v>135.29</v>
      </c>
    </row>
    <row r="97" spans="1:6" x14ac:dyDescent="0.3">
      <c r="A97" s="227"/>
      <c r="B97" s="106" t="s">
        <v>71</v>
      </c>
      <c r="C97" s="107">
        <v>6800.2269999999999</v>
      </c>
      <c r="D97" s="107">
        <v>6818.4120000000003</v>
      </c>
      <c r="E97" s="106">
        <v>18.184999999999999</v>
      </c>
      <c r="F97" s="106">
        <v>137.9</v>
      </c>
    </row>
    <row r="98" spans="1:6" x14ac:dyDescent="0.3">
      <c r="A98" s="227"/>
      <c r="B98" s="106" t="s">
        <v>99</v>
      </c>
      <c r="C98" s="107">
        <v>6787.8580000000002</v>
      </c>
      <c r="D98" s="107">
        <v>6805.7690000000002</v>
      </c>
      <c r="E98" s="106">
        <v>17.911000000000001</v>
      </c>
      <c r="F98" s="106">
        <v>135.82</v>
      </c>
    </row>
    <row r="99" spans="1:6" x14ac:dyDescent="0.3">
      <c r="A99" s="227"/>
      <c r="B99" s="106" t="s">
        <v>100</v>
      </c>
      <c r="C99" s="107">
        <v>6772.1369999999997</v>
      </c>
      <c r="D99" s="107">
        <v>6790.1149999999998</v>
      </c>
      <c r="E99" s="106">
        <v>17.978000000000002</v>
      </c>
      <c r="F99" s="106">
        <v>136.33000000000001</v>
      </c>
    </row>
    <row r="100" spans="1:6" x14ac:dyDescent="0.3">
      <c r="A100" s="227"/>
      <c r="B100" s="106" t="s">
        <v>72</v>
      </c>
      <c r="C100" s="107">
        <v>6757.1189999999997</v>
      </c>
      <c r="D100" s="107">
        <v>6775.7479999999996</v>
      </c>
      <c r="E100" s="106">
        <v>18.629000000000001</v>
      </c>
      <c r="F100" s="106">
        <v>141.27000000000001</v>
      </c>
    </row>
    <row r="101" spans="1:6" ht="30" customHeight="1" x14ac:dyDescent="0.3">
      <c r="A101" s="227" t="s">
        <v>219</v>
      </c>
      <c r="B101" s="106" t="s">
        <v>70</v>
      </c>
      <c r="C101" s="107">
        <v>7614.2579999999998</v>
      </c>
      <c r="D101" s="107">
        <v>7649.92</v>
      </c>
      <c r="E101" s="106">
        <v>35.661999999999999</v>
      </c>
      <c r="F101" s="107">
        <v>1248.17</v>
      </c>
    </row>
    <row r="102" spans="1:6" x14ac:dyDescent="0.3">
      <c r="A102" s="227"/>
      <c r="B102" s="106" t="s">
        <v>71</v>
      </c>
      <c r="C102" s="107">
        <v>7690.4520000000002</v>
      </c>
      <c r="D102" s="107">
        <v>7710.1469999999999</v>
      </c>
      <c r="E102" s="106">
        <v>19.695</v>
      </c>
      <c r="F102" s="106">
        <v>689.32</v>
      </c>
    </row>
    <row r="103" spans="1:6" x14ac:dyDescent="0.3">
      <c r="A103" s="227"/>
      <c r="B103" s="106" t="s">
        <v>99</v>
      </c>
      <c r="C103" s="107">
        <v>7738.0460000000003</v>
      </c>
      <c r="D103" s="107">
        <v>7758.1229999999996</v>
      </c>
      <c r="E103" s="106">
        <v>20.077000000000002</v>
      </c>
      <c r="F103" s="106">
        <v>702.69</v>
      </c>
    </row>
    <row r="104" spans="1:6" x14ac:dyDescent="0.3">
      <c r="A104" s="227"/>
      <c r="B104" s="106" t="s">
        <v>100</v>
      </c>
      <c r="C104" s="107">
        <v>7802.4260000000004</v>
      </c>
      <c r="D104" s="107">
        <v>7822.6390000000001</v>
      </c>
      <c r="E104" s="106">
        <v>20.213000000000001</v>
      </c>
      <c r="F104" s="106">
        <v>707.45</v>
      </c>
    </row>
    <row r="105" spans="1:6" x14ac:dyDescent="0.3">
      <c r="A105" s="227"/>
      <c r="B105" s="106" t="s">
        <v>72</v>
      </c>
      <c r="C105" s="107">
        <v>7862.0640000000003</v>
      </c>
      <c r="D105" s="107">
        <v>7881.5569999999998</v>
      </c>
      <c r="E105" s="106">
        <v>19.492999999999999</v>
      </c>
      <c r="F105" s="106">
        <v>682.25</v>
      </c>
    </row>
    <row r="106" spans="1:6" ht="45" customHeight="1" x14ac:dyDescent="0.3">
      <c r="A106" s="227" t="s">
        <v>220</v>
      </c>
      <c r="B106" s="106" t="s">
        <v>69</v>
      </c>
      <c r="C106" s="106">
        <v>2.17</v>
      </c>
      <c r="D106" s="106">
        <v>2.13</v>
      </c>
      <c r="E106" s="106">
        <v>-0.04</v>
      </c>
      <c r="F106" s="106">
        <v>0.04</v>
      </c>
    </row>
    <row r="107" spans="1:6" x14ac:dyDescent="0.3">
      <c r="A107" s="227"/>
      <c r="B107" s="106" t="s">
        <v>70</v>
      </c>
      <c r="C107" s="106">
        <v>2.19</v>
      </c>
      <c r="D107" s="106">
        <v>2.15</v>
      </c>
      <c r="E107" s="106">
        <v>-0.04</v>
      </c>
      <c r="F107" s="106">
        <v>0.04</v>
      </c>
    </row>
    <row r="108" spans="1:6" x14ac:dyDescent="0.3">
      <c r="A108" s="227"/>
      <c r="B108" s="106" t="s">
        <v>71</v>
      </c>
      <c r="C108" s="106">
        <v>2.2200000000000002</v>
      </c>
      <c r="D108" s="106">
        <v>2.1800000000000002</v>
      </c>
      <c r="E108" s="106">
        <v>-0.04</v>
      </c>
      <c r="F108" s="106">
        <v>0.04</v>
      </c>
    </row>
    <row r="109" spans="1:6" ht="45" customHeight="1" x14ac:dyDescent="0.3">
      <c r="A109" s="227" t="s">
        <v>221</v>
      </c>
      <c r="B109" s="106" t="s">
        <v>69</v>
      </c>
      <c r="C109" s="106">
        <v>17.02</v>
      </c>
      <c r="D109" s="106">
        <v>17.07</v>
      </c>
      <c r="E109" s="106">
        <v>0.05</v>
      </c>
      <c r="F109" s="106">
        <v>0.05</v>
      </c>
    </row>
    <row r="110" spans="1:6" x14ac:dyDescent="0.3">
      <c r="A110" s="227"/>
      <c r="B110" s="106" t="s">
        <v>70</v>
      </c>
      <c r="C110" s="106">
        <v>17.18</v>
      </c>
      <c r="D110" s="106">
        <v>17.22</v>
      </c>
      <c r="E110" s="106">
        <v>0.04</v>
      </c>
      <c r="F110" s="106">
        <v>0.04</v>
      </c>
    </row>
    <row r="111" spans="1:6" x14ac:dyDescent="0.3">
      <c r="A111" s="227"/>
      <c r="B111" s="106" t="s">
        <v>71</v>
      </c>
      <c r="C111" s="106">
        <v>17.38</v>
      </c>
      <c r="D111" s="106">
        <v>17.420000000000002</v>
      </c>
      <c r="E111" s="106">
        <v>0.04</v>
      </c>
      <c r="F111" s="106">
        <v>0.04</v>
      </c>
    </row>
    <row r="112" spans="1:6" x14ac:dyDescent="0.3">
      <c r="A112" s="228" t="s">
        <v>222</v>
      </c>
      <c r="B112" s="109" t="s">
        <v>69</v>
      </c>
      <c r="C112" s="110">
        <v>99973.25</v>
      </c>
      <c r="D112" s="110">
        <v>99973.23</v>
      </c>
      <c r="E112" s="109">
        <v>-0.02</v>
      </c>
      <c r="F112" s="109">
        <v>0.03</v>
      </c>
    </row>
    <row r="113" spans="1:6" x14ac:dyDescent="0.3">
      <c r="A113" s="228"/>
      <c r="B113" s="109" t="s">
        <v>70</v>
      </c>
      <c r="C113" s="110">
        <v>99637.96</v>
      </c>
      <c r="D113" s="110">
        <v>99639.97</v>
      </c>
      <c r="E113" s="109">
        <v>2.0099999999999998</v>
      </c>
      <c r="F113" s="109">
        <v>3.26</v>
      </c>
    </row>
    <row r="114" spans="1:6" x14ac:dyDescent="0.3">
      <c r="A114" s="228"/>
      <c r="B114" s="109" t="s">
        <v>71</v>
      </c>
      <c r="C114" s="110">
        <v>99292.49</v>
      </c>
      <c r="D114" s="110">
        <v>99304.97</v>
      </c>
      <c r="E114" s="109">
        <v>12.48</v>
      </c>
      <c r="F114" s="109">
        <v>20.3</v>
      </c>
    </row>
    <row r="115" spans="1:6" x14ac:dyDescent="0.3">
      <c r="A115" s="228"/>
      <c r="B115" s="109" t="s">
        <v>99</v>
      </c>
      <c r="C115" s="110">
        <v>98961.42</v>
      </c>
      <c r="D115" s="110">
        <v>98959.22</v>
      </c>
      <c r="E115" s="109">
        <v>-2.2000000000000002</v>
      </c>
      <c r="F115" s="109">
        <v>3.57</v>
      </c>
    </row>
    <row r="116" spans="1:6" x14ac:dyDescent="0.3">
      <c r="A116" s="228"/>
      <c r="B116" s="109" t="s">
        <v>74</v>
      </c>
      <c r="C116" s="110">
        <v>94575.25</v>
      </c>
      <c r="D116" s="110">
        <v>94645.29</v>
      </c>
      <c r="E116" s="109">
        <v>70.040000000000006</v>
      </c>
      <c r="F116" s="109">
        <v>113.93</v>
      </c>
    </row>
    <row r="117" spans="1:6" x14ac:dyDescent="0.3">
      <c r="A117" s="228"/>
      <c r="B117" s="111" t="s">
        <v>137</v>
      </c>
      <c r="C117" s="112">
        <v>91324.64</v>
      </c>
      <c r="D117" s="112">
        <v>91463.11</v>
      </c>
      <c r="E117" s="111">
        <v>138.47</v>
      </c>
      <c r="F117" s="111">
        <v>225.25</v>
      </c>
    </row>
    <row r="118" spans="1:6" x14ac:dyDescent="0.3">
      <c r="A118" s="228"/>
      <c r="B118" s="109" t="s">
        <v>78</v>
      </c>
      <c r="C118" s="110">
        <v>89477.5</v>
      </c>
      <c r="D118" s="110">
        <v>89684.05</v>
      </c>
      <c r="E118" s="109">
        <v>206.55</v>
      </c>
      <c r="F118" s="109">
        <v>335.99</v>
      </c>
    </row>
    <row r="119" spans="1:6" x14ac:dyDescent="0.3">
      <c r="A119" s="228"/>
      <c r="B119" s="109" t="s">
        <v>138</v>
      </c>
      <c r="C119" s="110">
        <v>87965.5</v>
      </c>
      <c r="D119" s="110">
        <v>88184.67</v>
      </c>
      <c r="E119" s="109">
        <v>219.17</v>
      </c>
      <c r="F119" s="109">
        <v>356.52</v>
      </c>
    </row>
    <row r="120" spans="1:6" x14ac:dyDescent="0.3">
      <c r="A120" s="228"/>
      <c r="B120" s="109" t="s">
        <v>139</v>
      </c>
      <c r="C120" s="110">
        <v>81726.44</v>
      </c>
      <c r="D120" s="110">
        <v>81912.12</v>
      </c>
      <c r="E120" s="109">
        <v>185.68</v>
      </c>
      <c r="F120" s="109">
        <v>302.04000000000002</v>
      </c>
    </row>
    <row r="121" spans="1:6" x14ac:dyDescent="0.3">
      <c r="A121" s="228"/>
      <c r="B121" s="109" t="s">
        <v>140</v>
      </c>
      <c r="C121" s="110">
        <v>78344.63</v>
      </c>
      <c r="D121" s="110">
        <v>78498.19</v>
      </c>
      <c r="E121" s="109">
        <v>153.56</v>
      </c>
      <c r="F121" s="109">
        <v>249.79</v>
      </c>
    </row>
    <row r="122" spans="1:6" x14ac:dyDescent="0.3">
      <c r="A122" s="228"/>
      <c r="B122" s="111" t="s">
        <v>141</v>
      </c>
      <c r="C122" s="112">
        <v>72591.61</v>
      </c>
      <c r="D122" s="112">
        <v>72664.09</v>
      </c>
      <c r="E122" s="111">
        <v>72.48</v>
      </c>
      <c r="F122" s="111">
        <v>117.9</v>
      </c>
    </row>
    <row r="123" spans="1:6" x14ac:dyDescent="0.3">
      <c r="A123" s="228"/>
      <c r="B123" s="109" t="s">
        <v>142</v>
      </c>
      <c r="C123" s="110">
        <v>64641.85</v>
      </c>
      <c r="D123" s="110">
        <v>64639.53</v>
      </c>
      <c r="E123" s="109">
        <v>-2.3199999999999998</v>
      </c>
      <c r="F123" s="109">
        <v>3.77</v>
      </c>
    </row>
    <row r="124" spans="1:6" x14ac:dyDescent="0.3">
      <c r="A124" s="228"/>
      <c r="B124" s="109" t="s">
        <v>143</v>
      </c>
      <c r="C124" s="110">
        <v>57073.23</v>
      </c>
      <c r="D124" s="110">
        <v>57122.33</v>
      </c>
      <c r="E124" s="109">
        <v>49.1</v>
      </c>
      <c r="F124" s="109">
        <v>79.87</v>
      </c>
    </row>
    <row r="125" spans="1:6" x14ac:dyDescent="0.3">
      <c r="A125" s="228"/>
      <c r="B125" s="109" t="s">
        <v>144</v>
      </c>
      <c r="C125" s="110">
        <v>54409.82</v>
      </c>
      <c r="D125" s="110">
        <v>54512.94</v>
      </c>
      <c r="E125" s="109">
        <v>103.12</v>
      </c>
      <c r="F125" s="109">
        <v>167.74</v>
      </c>
    </row>
    <row r="126" spans="1:6" x14ac:dyDescent="0.3">
      <c r="A126" s="228"/>
      <c r="B126" s="111" t="s">
        <v>145</v>
      </c>
      <c r="C126" s="112">
        <v>48065.56</v>
      </c>
      <c r="D126" s="112">
        <v>48064.15</v>
      </c>
      <c r="E126" s="111">
        <v>-1.41</v>
      </c>
      <c r="F126" s="111">
        <v>2.29</v>
      </c>
    </row>
    <row r="127" spans="1:6" x14ac:dyDescent="0.3">
      <c r="A127" s="228"/>
      <c r="B127" s="109" t="s">
        <v>146</v>
      </c>
      <c r="C127" s="110">
        <v>34902.620000000003</v>
      </c>
      <c r="D127" s="110">
        <v>35016.47</v>
      </c>
      <c r="E127" s="109">
        <v>113.85</v>
      </c>
      <c r="F127" s="109">
        <v>185.2</v>
      </c>
    </row>
    <row r="128" spans="1:6" x14ac:dyDescent="0.3">
      <c r="A128" s="228"/>
      <c r="B128" s="109" t="s">
        <v>147</v>
      </c>
      <c r="C128" s="110">
        <v>26796.17</v>
      </c>
      <c r="D128" s="110">
        <v>26907.52</v>
      </c>
      <c r="E128" s="109">
        <v>111.35</v>
      </c>
      <c r="F128" s="109">
        <v>181.13</v>
      </c>
    </row>
    <row r="129" spans="1:6" x14ac:dyDescent="0.3">
      <c r="A129" s="228"/>
      <c r="B129" s="109" t="s">
        <v>148</v>
      </c>
      <c r="C129" s="110">
        <v>19585.07</v>
      </c>
      <c r="D129" s="110">
        <v>19635.080000000002</v>
      </c>
      <c r="E129" s="109">
        <v>50.01</v>
      </c>
      <c r="F129" s="109">
        <v>81.349999999999994</v>
      </c>
    </row>
    <row r="130" spans="1:6" x14ac:dyDescent="0.3">
      <c r="A130" s="228"/>
      <c r="B130" s="109" t="s">
        <v>149</v>
      </c>
      <c r="C130" s="110">
        <v>15186.12</v>
      </c>
      <c r="D130" s="110">
        <v>15277.92</v>
      </c>
      <c r="E130" s="109">
        <v>91.8</v>
      </c>
      <c r="F130" s="109">
        <v>149.33000000000001</v>
      </c>
    </row>
    <row r="131" spans="1:6" x14ac:dyDescent="0.3">
      <c r="A131" s="228"/>
      <c r="B131" s="109" t="s">
        <v>150</v>
      </c>
      <c r="C131" s="110">
        <v>11127.61</v>
      </c>
      <c r="D131" s="110">
        <v>11205.95</v>
      </c>
      <c r="E131" s="109">
        <v>78.34</v>
      </c>
      <c r="F131" s="109">
        <v>127.43</v>
      </c>
    </row>
    <row r="132" spans="1:6" ht="30" customHeight="1" x14ac:dyDescent="0.3">
      <c r="A132" s="227" t="s">
        <v>223</v>
      </c>
      <c r="B132" s="106" t="s">
        <v>70</v>
      </c>
      <c r="C132" s="107">
        <v>15441</v>
      </c>
      <c r="D132" s="107">
        <v>15449</v>
      </c>
      <c r="E132" s="106">
        <v>8</v>
      </c>
      <c r="F132" s="106">
        <v>221.97</v>
      </c>
    </row>
    <row r="133" spans="1:6" x14ac:dyDescent="0.3">
      <c r="A133" s="227"/>
      <c r="B133" s="106" t="s">
        <v>100</v>
      </c>
      <c r="C133" s="107">
        <v>15605</v>
      </c>
      <c r="D133" s="107">
        <v>15613</v>
      </c>
      <c r="E133" s="106">
        <v>8</v>
      </c>
      <c r="F133" s="106">
        <v>221.97</v>
      </c>
    </row>
    <row r="134" spans="1:6" x14ac:dyDescent="0.3">
      <c r="A134" s="227"/>
      <c r="B134" s="106" t="s">
        <v>102</v>
      </c>
      <c r="C134" s="107">
        <v>15741</v>
      </c>
      <c r="D134" s="107">
        <v>15750</v>
      </c>
      <c r="E134" s="106">
        <v>9</v>
      </c>
      <c r="F134" s="106">
        <v>249.72</v>
      </c>
    </row>
    <row r="135" spans="1:6" x14ac:dyDescent="0.3">
      <c r="A135" s="227" t="s">
        <v>224</v>
      </c>
      <c r="B135" s="106" t="s">
        <v>70</v>
      </c>
      <c r="C135" s="107">
        <v>99658.84</v>
      </c>
      <c r="D135" s="107">
        <v>100186.14</v>
      </c>
      <c r="E135" s="106">
        <v>527.29999999999995</v>
      </c>
      <c r="F135" s="107">
        <v>1366.6</v>
      </c>
    </row>
    <row r="136" spans="1:6" x14ac:dyDescent="0.3">
      <c r="A136" s="227"/>
      <c r="B136" s="106" t="s">
        <v>71</v>
      </c>
      <c r="C136" s="107">
        <v>99158.080000000002</v>
      </c>
      <c r="D136" s="107">
        <v>99678.11</v>
      </c>
      <c r="E136" s="106">
        <v>520.03</v>
      </c>
      <c r="F136" s="107">
        <v>1347.76</v>
      </c>
    </row>
    <row r="137" spans="1:6" x14ac:dyDescent="0.3">
      <c r="A137" s="227"/>
      <c r="B137" s="106" t="s">
        <v>99</v>
      </c>
      <c r="C137" s="107">
        <v>98693.440000000002</v>
      </c>
      <c r="D137" s="107">
        <v>99212.3</v>
      </c>
      <c r="E137" s="106">
        <v>518.86</v>
      </c>
      <c r="F137" s="107">
        <v>1344.72</v>
      </c>
    </row>
    <row r="138" spans="1:6" x14ac:dyDescent="0.3">
      <c r="A138" s="227"/>
      <c r="B138" s="106" t="s">
        <v>100</v>
      </c>
      <c r="C138" s="107">
        <v>98200.66</v>
      </c>
      <c r="D138" s="107">
        <v>98720.4</v>
      </c>
      <c r="E138" s="106">
        <v>519.74</v>
      </c>
      <c r="F138" s="107">
        <v>1347.01</v>
      </c>
    </row>
    <row r="139" spans="1:6" x14ac:dyDescent="0.3">
      <c r="A139" s="227"/>
      <c r="B139" s="106" t="s">
        <v>72</v>
      </c>
      <c r="C139" s="107">
        <v>97710.14</v>
      </c>
      <c r="D139" s="107">
        <v>98223.96</v>
      </c>
      <c r="E139" s="106">
        <v>513.82000000000005</v>
      </c>
      <c r="F139" s="107">
        <v>1331.66</v>
      </c>
    </row>
    <row r="140" spans="1:6" x14ac:dyDescent="0.3">
      <c r="A140" s="227"/>
      <c r="B140" s="106" t="s">
        <v>101</v>
      </c>
      <c r="C140" s="107">
        <v>97192.94</v>
      </c>
      <c r="D140" s="107">
        <v>97690.91</v>
      </c>
      <c r="E140" s="106">
        <v>497.97</v>
      </c>
      <c r="F140" s="107">
        <v>1290.58</v>
      </c>
    </row>
    <row r="141" spans="1:6" x14ac:dyDescent="0.3">
      <c r="A141" s="227"/>
      <c r="B141" s="106" t="s">
        <v>102</v>
      </c>
      <c r="C141" s="107">
        <v>96664.94</v>
      </c>
      <c r="D141" s="107">
        <v>97156.800000000003</v>
      </c>
      <c r="E141" s="106">
        <v>491.86</v>
      </c>
      <c r="F141" s="107">
        <v>1274.75</v>
      </c>
    </row>
    <row r="142" spans="1:6" x14ac:dyDescent="0.3">
      <c r="A142" s="227"/>
      <c r="B142" s="106" t="s">
        <v>73</v>
      </c>
      <c r="C142" s="107">
        <v>96161.43</v>
      </c>
      <c r="D142" s="107">
        <v>96637.01</v>
      </c>
      <c r="E142" s="106">
        <v>475.58</v>
      </c>
      <c r="F142" s="107">
        <v>1232.56</v>
      </c>
    </row>
    <row r="143" spans="1:6" x14ac:dyDescent="0.3">
      <c r="A143" s="227"/>
      <c r="B143" s="106" t="s">
        <v>103</v>
      </c>
      <c r="C143" s="107">
        <v>95642.97</v>
      </c>
      <c r="D143" s="107">
        <v>96104.77</v>
      </c>
      <c r="E143" s="106">
        <v>461.8</v>
      </c>
      <c r="F143" s="107">
        <v>1196.8399999999999</v>
      </c>
    </row>
    <row r="144" spans="1:6" x14ac:dyDescent="0.3">
      <c r="A144" s="227"/>
      <c r="B144" s="106" t="s">
        <v>104</v>
      </c>
      <c r="C144" s="107">
        <v>95138.1</v>
      </c>
      <c r="D144" s="107">
        <v>95592.98</v>
      </c>
      <c r="E144" s="106">
        <v>454.88</v>
      </c>
      <c r="F144" s="107">
        <v>1178.9100000000001</v>
      </c>
    </row>
    <row r="145" spans="1:6" x14ac:dyDescent="0.3">
      <c r="A145" s="227"/>
      <c r="B145" s="106" t="s">
        <v>74</v>
      </c>
      <c r="C145" s="107">
        <v>94623.49</v>
      </c>
      <c r="D145" s="107">
        <v>95070.5</v>
      </c>
      <c r="E145" s="106">
        <v>447.01</v>
      </c>
      <c r="F145" s="107">
        <v>1158.51</v>
      </c>
    </row>
    <row r="146" spans="1:6" x14ac:dyDescent="0.3">
      <c r="A146" s="227"/>
      <c r="B146" s="106" t="s">
        <v>225</v>
      </c>
      <c r="C146" s="107">
        <v>94159.039999999994</v>
      </c>
      <c r="D146" s="107">
        <v>94590.36</v>
      </c>
      <c r="E146" s="106">
        <v>431.32</v>
      </c>
      <c r="F146" s="107">
        <v>1117.8499999999999</v>
      </c>
    </row>
    <row r="147" spans="1:6" x14ac:dyDescent="0.3">
      <c r="A147" s="227"/>
      <c r="B147" s="106" t="s">
        <v>75</v>
      </c>
      <c r="C147" s="107">
        <v>93281.23</v>
      </c>
      <c r="D147" s="107">
        <v>93696.960000000006</v>
      </c>
      <c r="E147" s="106">
        <v>415.73</v>
      </c>
      <c r="F147" s="107">
        <v>1077.44</v>
      </c>
    </row>
    <row r="148" spans="1:6" x14ac:dyDescent="0.3">
      <c r="A148" s="227"/>
      <c r="B148" s="106" t="s">
        <v>76</v>
      </c>
      <c r="C148" s="107">
        <v>92024.14</v>
      </c>
      <c r="D148" s="107">
        <v>92396.13</v>
      </c>
      <c r="E148" s="106">
        <v>371.99</v>
      </c>
      <c r="F148" s="106">
        <v>964.08</v>
      </c>
    </row>
    <row r="149" spans="1:6" x14ac:dyDescent="0.3">
      <c r="A149" s="227"/>
      <c r="B149" s="106" t="s">
        <v>77</v>
      </c>
      <c r="C149" s="107">
        <v>90874.68</v>
      </c>
      <c r="D149" s="107">
        <v>91180.93</v>
      </c>
      <c r="E149" s="106">
        <v>306.25</v>
      </c>
      <c r="F149" s="106">
        <v>793.7</v>
      </c>
    </row>
    <row r="150" spans="1:6" x14ac:dyDescent="0.3">
      <c r="A150" s="227"/>
      <c r="B150" s="106" t="s">
        <v>78</v>
      </c>
      <c r="C150" s="107">
        <v>89773.42</v>
      </c>
      <c r="D150" s="107">
        <v>89990.64</v>
      </c>
      <c r="E150" s="106">
        <v>217.22</v>
      </c>
      <c r="F150" s="106">
        <v>562.96</v>
      </c>
    </row>
    <row r="151" spans="1:6" x14ac:dyDescent="0.3">
      <c r="A151" s="227"/>
      <c r="B151" s="106" t="s">
        <v>79</v>
      </c>
      <c r="C151" s="107">
        <v>88828</v>
      </c>
      <c r="D151" s="107">
        <v>89012.71</v>
      </c>
      <c r="E151" s="106">
        <v>184.71</v>
      </c>
      <c r="F151" s="106">
        <v>478.71</v>
      </c>
    </row>
    <row r="152" spans="1:6" x14ac:dyDescent="0.3">
      <c r="A152" s="227"/>
      <c r="B152" s="106" t="s">
        <v>80</v>
      </c>
      <c r="C152" s="107">
        <v>87856.11</v>
      </c>
      <c r="D152" s="107">
        <v>88025.47</v>
      </c>
      <c r="E152" s="106">
        <v>169.36</v>
      </c>
      <c r="F152" s="106">
        <v>438.93</v>
      </c>
    </row>
    <row r="153" spans="1:6" x14ac:dyDescent="0.3">
      <c r="A153" s="227"/>
      <c r="B153" s="106" t="s">
        <v>81</v>
      </c>
      <c r="C153" s="107">
        <v>86925.57</v>
      </c>
      <c r="D153" s="107">
        <v>87067.56</v>
      </c>
      <c r="E153" s="106">
        <v>141.99</v>
      </c>
      <c r="F153" s="106">
        <v>367.99</v>
      </c>
    </row>
    <row r="154" spans="1:6" x14ac:dyDescent="0.3">
      <c r="A154" s="227"/>
      <c r="B154" s="106" t="s">
        <v>82</v>
      </c>
      <c r="C154" s="107">
        <v>85974.1</v>
      </c>
      <c r="D154" s="107">
        <v>86109.37</v>
      </c>
      <c r="E154" s="106">
        <v>135.27000000000001</v>
      </c>
      <c r="F154" s="106">
        <v>350.57</v>
      </c>
    </row>
    <row r="155" spans="1:6" x14ac:dyDescent="0.3">
      <c r="A155" s="227"/>
      <c r="B155" s="106" t="s">
        <v>83</v>
      </c>
      <c r="C155" s="107">
        <v>85133.43</v>
      </c>
      <c r="D155" s="107">
        <v>85241.33</v>
      </c>
      <c r="E155" s="106">
        <v>107.9</v>
      </c>
      <c r="F155" s="106">
        <v>279.64</v>
      </c>
    </row>
    <row r="156" spans="1:6" x14ac:dyDescent="0.3">
      <c r="A156" s="227"/>
      <c r="B156" s="106" t="s">
        <v>84</v>
      </c>
      <c r="C156" s="107">
        <v>84240.13</v>
      </c>
      <c r="D156" s="107">
        <v>84323.5</v>
      </c>
      <c r="E156" s="106">
        <v>83.37</v>
      </c>
      <c r="F156" s="106">
        <v>216.07</v>
      </c>
    </row>
    <row r="157" spans="1:6" x14ac:dyDescent="0.3">
      <c r="A157" s="227"/>
      <c r="B157" s="106" t="s">
        <v>85</v>
      </c>
      <c r="C157" s="107">
        <v>83392.84</v>
      </c>
      <c r="D157" s="107">
        <v>83427.91</v>
      </c>
      <c r="E157" s="106">
        <v>35.07</v>
      </c>
      <c r="F157" s="106">
        <v>90.89</v>
      </c>
    </row>
    <row r="158" spans="1:6" x14ac:dyDescent="0.3">
      <c r="A158" s="227"/>
      <c r="B158" s="106" t="s">
        <v>86</v>
      </c>
      <c r="C158" s="107">
        <v>82443.600000000006</v>
      </c>
      <c r="D158" s="107">
        <v>82453.64</v>
      </c>
      <c r="E158" s="106">
        <v>10.039999999999999</v>
      </c>
      <c r="F158" s="106">
        <v>26.02</v>
      </c>
    </row>
    <row r="159" spans="1:6" x14ac:dyDescent="0.3">
      <c r="A159" s="227"/>
      <c r="B159" s="106" t="s">
        <v>87</v>
      </c>
      <c r="C159" s="107">
        <v>81599.13</v>
      </c>
      <c r="D159" s="107">
        <v>81587.81</v>
      </c>
      <c r="E159" s="106">
        <v>-11.32</v>
      </c>
      <c r="F159" s="106">
        <v>29.33</v>
      </c>
    </row>
    <row r="160" spans="1:6" x14ac:dyDescent="0.3">
      <c r="A160" s="227"/>
      <c r="B160" s="106" t="s">
        <v>105</v>
      </c>
      <c r="C160" s="107">
        <v>80737.72</v>
      </c>
      <c r="D160" s="107">
        <v>80702.240000000005</v>
      </c>
      <c r="E160" s="106">
        <v>-35.479999999999997</v>
      </c>
      <c r="F160" s="106">
        <v>91.95</v>
      </c>
    </row>
    <row r="161" spans="1:6" x14ac:dyDescent="0.3">
      <c r="A161" s="227"/>
      <c r="B161" s="106" t="s">
        <v>106</v>
      </c>
      <c r="C161" s="107">
        <v>79767.210000000006</v>
      </c>
      <c r="D161" s="107">
        <v>79743.77</v>
      </c>
      <c r="E161" s="106">
        <v>-23.44</v>
      </c>
      <c r="F161" s="106">
        <v>60.74</v>
      </c>
    </row>
    <row r="162" spans="1:6" x14ac:dyDescent="0.3">
      <c r="A162" s="227"/>
      <c r="B162" s="106" t="s">
        <v>88</v>
      </c>
      <c r="C162" s="107">
        <v>78881.429999999993</v>
      </c>
      <c r="D162" s="107">
        <v>78839.92</v>
      </c>
      <c r="E162" s="106">
        <v>-41.51</v>
      </c>
      <c r="F162" s="106">
        <v>107.58</v>
      </c>
    </row>
    <row r="163" spans="1:6" x14ac:dyDescent="0.3">
      <c r="A163" s="227"/>
      <c r="B163" s="106" t="s">
        <v>89</v>
      </c>
      <c r="C163" s="107">
        <v>75359.360000000001</v>
      </c>
      <c r="D163" s="107">
        <v>75283.100000000006</v>
      </c>
      <c r="E163" s="106">
        <v>-76.260000000000005</v>
      </c>
      <c r="F163" s="106">
        <v>197.64</v>
      </c>
    </row>
    <row r="164" spans="1:6" x14ac:dyDescent="0.3">
      <c r="A164" s="227"/>
      <c r="B164" s="106" t="s">
        <v>90</v>
      </c>
      <c r="C164" s="107">
        <v>72086.710000000006</v>
      </c>
      <c r="D164" s="107">
        <v>71999.33</v>
      </c>
      <c r="E164" s="106">
        <v>-87.38</v>
      </c>
      <c r="F164" s="106">
        <v>226.46</v>
      </c>
    </row>
    <row r="165" spans="1:6" x14ac:dyDescent="0.3">
      <c r="A165" s="227"/>
      <c r="B165" s="106" t="s">
        <v>91</v>
      </c>
      <c r="C165" s="107">
        <v>68981.66</v>
      </c>
      <c r="D165" s="107">
        <v>68893.149999999994</v>
      </c>
      <c r="E165" s="106">
        <v>-88.51</v>
      </c>
      <c r="F165" s="106">
        <v>229.39</v>
      </c>
    </row>
    <row r="166" spans="1:6" x14ac:dyDescent="0.3">
      <c r="A166" s="227"/>
      <c r="B166" s="106" t="s">
        <v>92</v>
      </c>
      <c r="C166" s="107">
        <v>65942.509999999995</v>
      </c>
      <c r="D166" s="107">
        <v>65823.240000000005</v>
      </c>
      <c r="E166" s="106">
        <v>-119.27</v>
      </c>
      <c r="F166" s="106">
        <v>309.11</v>
      </c>
    </row>
    <row r="167" spans="1:6" x14ac:dyDescent="0.3">
      <c r="A167" s="227"/>
      <c r="B167" s="106" t="s">
        <v>93</v>
      </c>
      <c r="C167" s="107">
        <v>62940.55</v>
      </c>
      <c r="D167" s="107">
        <v>62798.11</v>
      </c>
      <c r="E167" s="106">
        <v>-142.44</v>
      </c>
      <c r="F167" s="106">
        <v>369.16</v>
      </c>
    </row>
    <row r="168" spans="1:6" x14ac:dyDescent="0.3">
      <c r="A168" s="227"/>
      <c r="B168" s="106" t="s">
        <v>94</v>
      </c>
      <c r="C168" s="107">
        <v>59954.73</v>
      </c>
      <c r="D168" s="107">
        <v>59796.91</v>
      </c>
      <c r="E168" s="106">
        <v>-157.82</v>
      </c>
      <c r="F168" s="106">
        <v>409.02</v>
      </c>
    </row>
    <row r="169" spans="1:6" x14ac:dyDescent="0.3">
      <c r="A169" s="227"/>
      <c r="B169" s="106" t="s">
        <v>95</v>
      </c>
      <c r="C169" s="107">
        <v>57038.13</v>
      </c>
      <c r="D169" s="107">
        <v>56869.4</v>
      </c>
      <c r="E169" s="106">
        <v>-168.73</v>
      </c>
      <c r="F169" s="106">
        <v>437.29</v>
      </c>
    </row>
    <row r="170" spans="1:6" x14ac:dyDescent="0.3">
      <c r="A170" s="227"/>
      <c r="B170" s="106" t="s">
        <v>96</v>
      </c>
      <c r="C170" s="107">
        <v>54305.95</v>
      </c>
      <c r="D170" s="107">
        <v>54133.29</v>
      </c>
      <c r="E170" s="106">
        <v>-172.66</v>
      </c>
      <c r="F170" s="106">
        <v>447.48</v>
      </c>
    </row>
    <row r="171" spans="1:6" x14ac:dyDescent="0.3">
      <c r="A171" s="227"/>
      <c r="B171" s="106" t="s">
        <v>97</v>
      </c>
      <c r="C171" s="107">
        <v>51906.45</v>
      </c>
      <c r="D171" s="107">
        <v>51727.58</v>
      </c>
      <c r="E171" s="106">
        <v>-178.87</v>
      </c>
      <c r="F171" s="106">
        <v>463.57</v>
      </c>
    </row>
    <row r="172" spans="1:6" x14ac:dyDescent="0.3">
      <c r="A172" s="227"/>
      <c r="B172" s="106" t="s">
        <v>226</v>
      </c>
      <c r="C172" s="107">
        <v>50012.68</v>
      </c>
      <c r="D172" s="107">
        <v>49823.44</v>
      </c>
      <c r="E172" s="106">
        <v>-189.24</v>
      </c>
      <c r="F172" s="106">
        <v>490.45</v>
      </c>
    </row>
    <row r="173" spans="1:6" x14ac:dyDescent="0.3">
      <c r="A173" s="227" t="s">
        <v>227</v>
      </c>
      <c r="B173" s="106" t="s">
        <v>70</v>
      </c>
      <c r="C173" s="107">
        <v>99658.84</v>
      </c>
      <c r="D173" s="107">
        <v>100186.14</v>
      </c>
      <c r="E173" s="106">
        <v>527.29999999999995</v>
      </c>
      <c r="F173" s="107">
        <v>1366.6</v>
      </c>
    </row>
    <row r="174" spans="1:6" x14ac:dyDescent="0.3">
      <c r="A174" s="227"/>
      <c r="B174" s="106" t="s">
        <v>71</v>
      </c>
      <c r="C174" s="107">
        <v>99158.080000000002</v>
      </c>
      <c r="D174" s="107">
        <v>99678.11</v>
      </c>
      <c r="E174" s="106">
        <v>520.03</v>
      </c>
      <c r="F174" s="107">
        <v>1347.76</v>
      </c>
    </row>
    <row r="175" spans="1:6" x14ac:dyDescent="0.3">
      <c r="A175" s="227"/>
      <c r="B175" s="106" t="s">
        <v>99</v>
      </c>
      <c r="C175" s="107">
        <v>98693.440000000002</v>
      </c>
      <c r="D175" s="107">
        <v>99212.3</v>
      </c>
      <c r="E175" s="106">
        <v>518.86</v>
      </c>
      <c r="F175" s="107">
        <v>1344.72</v>
      </c>
    </row>
    <row r="176" spans="1:6" x14ac:dyDescent="0.3">
      <c r="A176" s="227"/>
      <c r="B176" s="106" t="s">
        <v>100</v>
      </c>
      <c r="C176" s="107">
        <v>98200.66</v>
      </c>
      <c r="D176" s="107">
        <v>98720.4</v>
      </c>
      <c r="E176" s="106">
        <v>519.74</v>
      </c>
      <c r="F176" s="107">
        <v>1347.01</v>
      </c>
    </row>
    <row r="177" spans="1:6" x14ac:dyDescent="0.3">
      <c r="A177" s="227"/>
      <c r="B177" s="106" t="s">
        <v>72</v>
      </c>
      <c r="C177" s="107">
        <v>97710.14</v>
      </c>
      <c r="D177" s="107">
        <v>98223.96</v>
      </c>
      <c r="E177" s="106">
        <v>513.82000000000005</v>
      </c>
      <c r="F177" s="107">
        <v>1331.66</v>
      </c>
    </row>
    <row r="178" spans="1:6" x14ac:dyDescent="0.3">
      <c r="A178" s="227"/>
      <c r="B178" s="106" t="s">
        <v>101</v>
      </c>
      <c r="C178" s="107">
        <v>97192.94</v>
      </c>
      <c r="D178" s="107">
        <v>97690.91</v>
      </c>
      <c r="E178" s="106">
        <v>497.97</v>
      </c>
      <c r="F178" s="107">
        <v>1290.58</v>
      </c>
    </row>
    <row r="179" spans="1:6" x14ac:dyDescent="0.3">
      <c r="A179" s="227"/>
      <c r="B179" s="106" t="s">
        <v>102</v>
      </c>
      <c r="C179" s="107">
        <v>96664.94</v>
      </c>
      <c r="D179" s="107">
        <v>97156.800000000003</v>
      </c>
      <c r="E179" s="106">
        <v>491.86</v>
      </c>
      <c r="F179" s="107">
        <v>1274.75</v>
      </c>
    </row>
    <row r="180" spans="1:6" x14ac:dyDescent="0.3">
      <c r="A180" s="227"/>
      <c r="B180" s="106" t="s">
        <v>73</v>
      </c>
      <c r="C180" s="107">
        <v>96161.43</v>
      </c>
      <c r="D180" s="107">
        <v>96637.01</v>
      </c>
      <c r="E180" s="106">
        <v>475.58</v>
      </c>
      <c r="F180" s="107">
        <v>1232.56</v>
      </c>
    </row>
    <row r="181" spans="1:6" x14ac:dyDescent="0.3">
      <c r="A181" s="227"/>
      <c r="B181" s="106" t="s">
        <v>103</v>
      </c>
      <c r="C181" s="107">
        <v>95642.97</v>
      </c>
      <c r="D181" s="107">
        <v>96104.77</v>
      </c>
      <c r="E181" s="106">
        <v>461.8</v>
      </c>
      <c r="F181" s="107">
        <v>1196.8399999999999</v>
      </c>
    </row>
    <row r="182" spans="1:6" x14ac:dyDescent="0.3">
      <c r="A182" s="227"/>
      <c r="B182" s="106" t="s">
        <v>104</v>
      </c>
      <c r="C182" s="107">
        <v>95138.1</v>
      </c>
      <c r="D182" s="107">
        <v>95592.98</v>
      </c>
      <c r="E182" s="106">
        <v>454.88</v>
      </c>
      <c r="F182" s="107">
        <v>1178.9100000000001</v>
      </c>
    </row>
    <row r="183" spans="1:6" x14ac:dyDescent="0.3">
      <c r="A183" s="227"/>
      <c r="B183" s="106" t="s">
        <v>74</v>
      </c>
      <c r="C183" s="107">
        <v>94623.49</v>
      </c>
      <c r="D183" s="107">
        <v>95070.5</v>
      </c>
      <c r="E183" s="106">
        <v>447.01</v>
      </c>
      <c r="F183" s="107">
        <v>1158.51</v>
      </c>
    </row>
    <row r="184" spans="1:6" x14ac:dyDescent="0.3">
      <c r="A184" s="227"/>
      <c r="B184" s="106" t="s">
        <v>225</v>
      </c>
      <c r="C184" s="107">
        <v>94159.039999999994</v>
      </c>
      <c r="D184" s="107">
        <v>94590.36</v>
      </c>
      <c r="E184" s="106">
        <v>431.32</v>
      </c>
      <c r="F184" s="107">
        <v>1117.8499999999999</v>
      </c>
    </row>
    <row r="185" spans="1:6" x14ac:dyDescent="0.3">
      <c r="A185" s="227"/>
      <c r="B185" s="106" t="s">
        <v>75</v>
      </c>
      <c r="C185" s="107">
        <v>93281.23</v>
      </c>
      <c r="D185" s="107">
        <v>93696.960000000006</v>
      </c>
      <c r="E185" s="106">
        <v>415.73</v>
      </c>
      <c r="F185" s="107">
        <v>1077.44</v>
      </c>
    </row>
    <row r="186" spans="1:6" x14ac:dyDescent="0.3">
      <c r="A186" s="227"/>
      <c r="B186" s="106" t="s">
        <v>76</v>
      </c>
      <c r="C186" s="107">
        <v>92024.14</v>
      </c>
      <c r="D186" s="107">
        <v>92396.13</v>
      </c>
      <c r="E186" s="106">
        <v>371.99</v>
      </c>
      <c r="F186" s="106">
        <v>964.08</v>
      </c>
    </row>
    <row r="187" spans="1:6" x14ac:dyDescent="0.3">
      <c r="A187" s="227"/>
      <c r="B187" s="106" t="s">
        <v>77</v>
      </c>
      <c r="C187" s="107">
        <v>90874.68</v>
      </c>
      <c r="D187" s="107">
        <v>91180.93</v>
      </c>
      <c r="E187" s="106">
        <v>306.25</v>
      </c>
      <c r="F187" s="106">
        <v>793.7</v>
      </c>
    </row>
    <row r="188" spans="1:6" x14ac:dyDescent="0.3">
      <c r="A188" s="227"/>
      <c r="B188" s="106" t="s">
        <v>78</v>
      </c>
      <c r="C188" s="107">
        <v>89773.42</v>
      </c>
      <c r="D188" s="107">
        <v>89990.64</v>
      </c>
      <c r="E188" s="106">
        <v>217.22</v>
      </c>
      <c r="F188" s="106">
        <v>562.96</v>
      </c>
    </row>
    <row r="189" spans="1:6" x14ac:dyDescent="0.3">
      <c r="A189" s="227"/>
      <c r="B189" s="106" t="s">
        <v>79</v>
      </c>
      <c r="C189" s="107">
        <v>88828</v>
      </c>
      <c r="D189" s="107">
        <v>89012.71</v>
      </c>
      <c r="E189" s="106">
        <v>184.71</v>
      </c>
      <c r="F189" s="106">
        <v>478.71</v>
      </c>
    </row>
    <row r="190" spans="1:6" x14ac:dyDescent="0.3">
      <c r="A190" s="227"/>
      <c r="B190" s="106" t="s">
        <v>80</v>
      </c>
      <c r="C190" s="107">
        <v>87856.11</v>
      </c>
      <c r="D190" s="107">
        <v>88025.47</v>
      </c>
      <c r="E190" s="106">
        <v>169.36</v>
      </c>
      <c r="F190" s="106">
        <v>438.93</v>
      </c>
    </row>
    <row r="191" spans="1:6" x14ac:dyDescent="0.3">
      <c r="A191" s="227"/>
      <c r="B191" s="106" t="s">
        <v>81</v>
      </c>
      <c r="C191" s="107">
        <v>86925.57</v>
      </c>
      <c r="D191" s="107">
        <v>87067.56</v>
      </c>
      <c r="E191" s="106">
        <v>141.99</v>
      </c>
      <c r="F191" s="106">
        <v>367.99</v>
      </c>
    </row>
    <row r="192" spans="1:6" x14ac:dyDescent="0.3">
      <c r="A192" s="227"/>
      <c r="B192" s="106" t="s">
        <v>82</v>
      </c>
      <c r="C192" s="107">
        <v>85974.1</v>
      </c>
      <c r="D192" s="107">
        <v>86109.37</v>
      </c>
      <c r="E192" s="106">
        <v>135.27000000000001</v>
      </c>
      <c r="F192" s="106">
        <v>350.57</v>
      </c>
    </row>
    <row r="193" spans="1:6" x14ac:dyDescent="0.3">
      <c r="A193" s="227"/>
      <c r="B193" s="106" t="s">
        <v>83</v>
      </c>
      <c r="C193" s="107">
        <v>85133.43</v>
      </c>
      <c r="D193" s="107">
        <v>85241.33</v>
      </c>
      <c r="E193" s="106">
        <v>107.9</v>
      </c>
      <c r="F193" s="106">
        <v>279.64</v>
      </c>
    </row>
    <row r="194" spans="1:6" x14ac:dyDescent="0.3">
      <c r="A194" s="227"/>
      <c r="B194" s="106" t="s">
        <v>84</v>
      </c>
      <c r="C194" s="107">
        <v>84240.13</v>
      </c>
      <c r="D194" s="107">
        <v>84323.5</v>
      </c>
      <c r="E194" s="106">
        <v>83.37</v>
      </c>
      <c r="F194" s="106">
        <v>216.07</v>
      </c>
    </row>
    <row r="195" spans="1:6" x14ac:dyDescent="0.3">
      <c r="A195" s="227"/>
      <c r="B195" s="106" t="s">
        <v>85</v>
      </c>
      <c r="C195" s="107">
        <v>83392.84</v>
      </c>
      <c r="D195" s="107">
        <v>83427.91</v>
      </c>
      <c r="E195" s="106">
        <v>35.07</v>
      </c>
      <c r="F195" s="106">
        <v>90.89</v>
      </c>
    </row>
    <row r="196" spans="1:6" x14ac:dyDescent="0.3">
      <c r="A196" s="227"/>
      <c r="B196" s="106" t="s">
        <v>86</v>
      </c>
      <c r="C196" s="107">
        <v>82443.600000000006</v>
      </c>
      <c r="D196" s="107">
        <v>82453.64</v>
      </c>
      <c r="E196" s="106">
        <v>10.039999999999999</v>
      </c>
      <c r="F196" s="106">
        <v>26.02</v>
      </c>
    </row>
    <row r="197" spans="1:6" x14ac:dyDescent="0.3">
      <c r="A197" s="227"/>
      <c r="B197" s="106" t="s">
        <v>87</v>
      </c>
      <c r="C197" s="107">
        <v>81599.13</v>
      </c>
      <c r="D197" s="107">
        <v>81587.81</v>
      </c>
      <c r="E197" s="106">
        <v>-11.32</v>
      </c>
      <c r="F197" s="106">
        <v>29.33</v>
      </c>
    </row>
    <row r="198" spans="1:6" x14ac:dyDescent="0.3">
      <c r="A198" s="227"/>
      <c r="B198" s="106" t="s">
        <v>105</v>
      </c>
      <c r="C198" s="107">
        <v>80737.72</v>
      </c>
      <c r="D198" s="107">
        <v>80702.240000000005</v>
      </c>
      <c r="E198" s="106">
        <v>-35.479999999999997</v>
      </c>
      <c r="F198" s="106">
        <v>91.95</v>
      </c>
    </row>
    <row r="199" spans="1:6" x14ac:dyDescent="0.3">
      <c r="A199" s="227"/>
      <c r="B199" s="106" t="s">
        <v>106</v>
      </c>
      <c r="C199" s="107">
        <v>79767.210000000006</v>
      </c>
      <c r="D199" s="107">
        <v>79743.77</v>
      </c>
      <c r="E199" s="106">
        <v>-23.44</v>
      </c>
      <c r="F199" s="106">
        <v>60.74</v>
      </c>
    </row>
    <row r="200" spans="1:6" x14ac:dyDescent="0.3">
      <c r="A200" s="227"/>
      <c r="B200" s="106" t="s">
        <v>88</v>
      </c>
      <c r="C200" s="107">
        <v>78881.429999999993</v>
      </c>
      <c r="D200" s="107">
        <v>78839.92</v>
      </c>
      <c r="E200" s="106">
        <v>-41.51</v>
      </c>
      <c r="F200" s="106">
        <v>107.58</v>
      </c>
    </row>
    <row r="201" spans="1:6" x14ac:dyDescent="0.3">
      <c r="A201" s="227"/>
      <c r="B201" s="106" t="s">
        <v>89</v>
      </c>
      <c r="C201" s="107">
        <v>75359.360000000001</v>
      </c>
      <c r="D201" s="107">
        <v>75283.100000000006</v>
      </c>
      <c r="E201" s="106">
        <v>-76.260000000000005</v>
      </c>
      <c r="F201" s="106">
        <v>197.64</v>
      </c>
    </row>
    <row r="202" spans="1:6" x14ac:dyDescent="0.3">
      <c r="A202" s="227"/>
      <c r="B202" s="106" t="s">
        <v>90</v>
      </c>
      <c r="C202" s="107">
        <v>72086.710000000006</v>
      </c>
      <c r="D202" s="107">
        <v>71999.33</v>
      </c>
      <c r="E202" s="106">
        <v>-87.38</v>
      </c>
      <c r="F202" s="106">
        <v>226.46</v>
      </c>
    </row>
    <row r="203" spans="1:6" x14ac:dyDescent="0.3">
      <c r="A203" s="227"/>
      <c r="B203" s="106" t="s">
        <v>91</v>
      </c>
      <c r="C203" s="107">
        <v>68981.66</v>
      </c>
      <c r="D203" s="107">
        <v>68893.149999999994</v>
      </c>
      <c r="E203" s="106">
        <v>-88.51</v>
      </c>
      <c r="F203" s="106">
        <v>229.39</v>
      </c>
    </row>
    <row r="204" spans="1:6" x14ac:dyDescent="0.3">
      <c r="A204" s="227"/>
      <c r="B204" s="106" t="s">
        <v>92</v>
      </c>
      <c r="C204" s="107">
        <v>65942.509999999995</v>
      </c>
      <c r="D204" s="107">
        <v>65823.240000000005</v>
      </c>
      <c r="E204" s="106">
        <v>-119.27</v>
      </c>
      <c r="F204" s="106">
        <v>309.11</v>
      </c>
    </row>
    <row r="205" spans="1:6" x14ac:dyDescent="0.3">
      <c r="A205" s="227"/>
      <c r="B205" s="106" t="s">
        <v>93</v>
      </c>
      <c r="C205" s="107">
        <v>62940.55</v>
      </c>
      <c r="D205" s="107">
        <v>62798.11</v>
      </c>
      <c r="E205" s="106">
        <v>-142.44</v>
      </c>
      <c r="F205" s="106">
        <v>369.16</v>
      </c>
    </row>
    <row r="206" spans="1:6" x14ac:dyDescent="0.3">
      <c r="A206" s="227"/>
      <c r="B206" s="106" t="s">
        <v>94</v>
      </c>
      <c r="C206" s="107">
        <v>59954.73</v>
      </c>
      <c r="D206" s="107">
        <v>59796.91</v>
      </c>
      <c r="E206" s="106">
        <v>-157.82</v>
      </c>
      <c r="F206" s="106">
        <v>409.02</v>
      </c>
    </row>
    <row r="207" spans="1:6" x14ac:dyDescent="0.3">
      <c r="A207" s="227"/>
      <c r="B207" s="106" t="s">
        <v>95</v>
      </c>
      <c r="C207" s="107">
        <v>57038.13</v>
      </c>
      <c r="D207" s="107">
        <v>56869.4</v>
      </c>
      <c r="E207" s="106">
        <v>-168.73</v>
      </c>
      <c r="F207" s="106">
        <v>437.29</v>
      </c>
    </row>
    <row r="208" spans="1:6" x14ac:dyDescent="0.3">
      <c r="A208" s="227"/>
      <c r="B208" s="106" t="s">
        <v>96</v>
      </c>
      <c r="C208" s="107">
        <v>54305.95</v>
      </c>
      <c r="D208" s="107">
        <v>54133.29</v>
      </c>
      <c r="E208" s="106">
        <v>-172.66</v>
      </c>
      <c r="F208" s="106">
        <v>447.48</v>
      </c>
    </row>
    <row r="209" spans="1:6" x14ac:dyDescent="0.3">
      <c r="A209" s="227"/>
      <c r="B209" s="106" t="s">
        <v>97</v>
      </c>
      <c r="C209" s="107">
        <v>51906.45</v>
      </c>
      <c r="D209" s="107">
        <v>51727.58</v>
      </c>
      <c r="E209" s="106">
        <v>-178.87</v>
      </c>
      <c r="F209" s="106">
        <v>463.57</v>
      </c>
    </row>
    <row r="210" spans="1:6" x14ac:dyDescent="0.3">
      <c r="A210" s="227"/>
      <c r="B210" s="106" t="s">
        <v>226</v>
      </c>
      <c r="C210" s="107">
        <v>50012.68</v>
      </c>
      <c r="D210" s="107">
        <v>49823.44</v>
      </c>
      <c r="E210" s="106">
        <v>-189.24</v>
      </c>
      <c r="F210" s="106">
        <v>490.45</v>
      </c>
    </row>
    <row r="211" spans="1:6" x14ac:dyDescent="0.3">
      <c r="A211" s="227" t="s">
        <v>228</v>
      </c>
      <c r="B211" s="106" t="s">
        <v>70</v>
      </c>
      <c r="C211" s="107">
        <v>99543.99</v>
      </c>
      <c r="D211" s="107">
        <v>99543.94</v>
      </c>
      <c r="E211" s="106">
        <v>-0.05</v>
      </c>
      <c r="F211" s="106">
        <v>0.05</v>
      </c>
    </row>
    <row r="212" spans="1:6" x14ac:dyDescent="0.3">
      <c r="A212" s="227"/>
      <c r="B212" s="106" t="s">
        <v>71</v>
      </c>
      <c r="C212" s="107">
        <v>98387.98</v>
      </c>
      <c r="D212" s="107">
        <v>98387.66</v>
      </c>
      <c r="E212" s="106">
        <v>-0.32</v>
      </c>
      <c r="F212" s="106">
        <v>0.32</v>
      </c>
    </row>
    <row r="213" spans="1:6" x14ac:dyDescent="0.3">
      <c r="A213" s="227"/>
      <c r="B213" s="106" t="s">
        <v>99</v>
      </c>
      <c r="C213" s="107">
        <v>97489.2</v>
      </c>
      <c r="D213" s="107">
        <v>97490.48</v>
      </c>
      <c r="E213" s="106">
        <v>1.28</v>
      </c>
      <c r="F213" s="106">
        <v>1.28</v>
      </c>
    </row>
    <row r="214" spans="1:6" x14ac:dyDescent="0.3">
      <c r="A214" s="227"/>
      <c r="B214" s="106" t="s">
        <v>100</v>
      </c>
      <c r="C214" s="107">
        <v>96399.88</v>
      </c>
      <c r="D214" s="107">
        <v>96402.21</v>
      </c>
      <c r="E214" s="106">
        <v>2.33</v>
      </c>
      <c r="F214" s="106">
        <v>2.33</v>
      </c>
    </row>
    <row r="215" spans="1:6" x14ac:dyDescent="0.3">
      <c r="A215" s="227"/>
      <c r="B215" s="106" t="s">
        <v>72</v>
      </c>
      <c r="C215" s="107">
        <v>95375.14</v>
      </c>
      <c r="D215" s="107">
        <v>95383.02</v>
      </c>
      <c r="E215" s="106">
        <v>7.88</v>
      </c>
      <c r="F215" s="106">
        <v>7.88</v>
      </c>
    </row>
    <row r="216" spans="1:6" x14ac:dyDescent="0.3">
      <c r="A216" s="227"/>
      <c r="B216" s="106" t="s">
        <v>101</v>
      </c>
      <c r="C216" s="107">
        <v>94366.49</v>
      </c>
      <c r="D216" s="107">
        <v>94379.73</v>
      </c>
      <c r="E216" s="106">
        <v>13.24</v>
      </c>
      <c r="F216" s="106">
        <v>13.24</v>
      </c>
    </row>
    <row r="217" spans="1:6" x14ac:dyDescent="0.3">
      <c r="A217" s="227"/>
      <c r="B217" s="106" t="s">
        <v>102</v>
      </c>
      <c r="C217" s="107">
        <v>93283.83</v>
      </c>
      <c r="D217" s="107">
        <v>93303.89</v>
      </c>
      <c r="E217" s="106">
        <v>20.059999999999999</v>
      </c>
      <c r="F217" s="106">
        <v>20.059999999999999</v>
      </c>
    </row>
    <row r="218" spans="1:6" x14ac:dyDescent="0.3">
      <c r="A218" s="227"/>
      <c r="B218" s="106" t="s">
        <v>73</v>
      </c>
      <c r="C218" s="107">
        <v>92355.59</v>
      </c>
      <c r="D218" s="107">
        <v>92383.35</v>
      </c>
      <c r="E218" s="106">
        <v>27.76</v>
      </c>
      <c r="F218" s="106">
        <v>27.76</v>
      </c>
    </row>
    <row r="219" spans="1:6" x14ac:dyDescent="0.3">
      <c r="A219" s="227"/>
      <c r="B219" s="106" t="s">
        <v>103</v>
      </c>
      <c r="C219" s="107">
        <v>91385.83</v>
      </c>
      <c r="D219" s="107">
        <v>91419.22</v>
      </c>
      <c r="E219" s="106">
        <v>33.39</v>
      </c>
      <c r="F219" s="106">
        <v>33.39</v>
      </c>
    </row>
    <row r="220" spans="1:6" x14ac:dyDescent="0.3">
      <c r="A220" s="227"/>
      <c r="B220" s="106" t="s">
        <v>104</v>
      </c>
      <c r="C220" s="107">
        <v>90485.66</v>
      </c>
      <c r="D220" s="107">
        <v>90524.87</v>
      </c>
      <c r="E220" s="106">
        <v>39.21</v>
      </c>
      <c r="F220" s="106">
        <v>39.21</v>
      </c>
    </row>
    <row r="221" spans="1:6" x14ac:dyDescent="0.3">
      <c r="A221" s="227"/>
      <c r="B221" s="106" t="s">
        <v>74</v>
      </c>
      <c r="C221" s="107">
        <v>89611.4</v>
      </c>
      <c r="D221" s="107">
        <v>89658.83</v>
      </c>
      <c r="E221" s="106">
        <v>47.43</v>
      </c>
      <c r="F221" s="106">
        <v>47.43</v>
      </c>
    </row>
    <row r="222" spans="1:6" x14ac:dyDescent="0.3">
      <c r="A222" s="227"/>
      <c r="B222" s="106" t="s">
        <v>225</v>
      </c>
      <c r="C222" s="107">
        <v>88642.07</v>
      </c>
      <c r="D222" s="107">
        <v>88704.12</v>
      </c>
      <c r="E222" s="106">
        <v>62.05</v>
      </c>
      <c r="F222" s="106">
        <v>62.05</v>
      </c>
    </row>
    <row r="223" spans="1:6" x14ac:dyDescent="0.3">
      <c r="A223" s="227"/>
      <c r="B223" s="106" t="s">
        <v>75</v>
      </c>
      <c r="C223" s="107">
        <v>86996.34</v>
      </c>
      <c r="D223" s="107">
        <v>87084.88</v>
      </c>
      <c r="E223" s="106">
        <v>88.54</v>
      </c>
      <c r="F223" s="106">
        <v>88.54</v>
      </c>
    </row>
    <row r="224" spans="1:6" x14ac:dyDescent="0.3">
      <c r="A224" s="227"/>
      <c r="B224" s="106" t="s">
        <v>76</v>
      </c>
      <c r="C224" s="107">
        <v>84448.16</v>
      </c>
      <c r="D224" s="107">
        <v>84580.77</v>
      </c>
      <c r="E224" s="106">
        <v>132.61000000000001</v>
      </c>
      <c r="F224" s="106">
        <v>132.61000000000001</v>
      </c>
    </row>
    <row r="225" spans="1:6" x14ac:dyDescent="0.3">
      <c r="A225" s="227"/>
      <c r="B225" s="106" t="s">
        <v>77</v>
      </c>
      <c r="C225" s="107">
        <v>81926.59</v>
      </c>
      <c r="D225" s="107">
        <v>82069.490000000005</v>
      </c>
      <c r="E225" s="106">
        <v>142.9</v>
      </c>
      <c r="F225" s="106">
        <v>142.9</v>
      </c>
    </row>
    <row r="226" spans="1:6" x14ac:dyDescent="0.3">
      <c r="A226" s="227"/>
      <c r="B226" s="106" t="s">
        <v>78</v>
      </c>
      <c r="C226" s="107">
        <v>79570.45</v>
      </c>
      <c r="D226" s="107">
        <v>79715.210000000006</v>
      </c>
      <c r="E226" s="106">
        <v>144.76</v>
      </c>
      <c r="F226" s="106">
        <v>144.76</v>
      </c>
    </row>
    <row r="227" spans="1:6" x14ac:dyDescent="0.3">
      <c r="A227" s="227"/>
      <c r="B227" s="106" t="s">
        <v>79</v>
      </c>
      <c r="C227" s="107">
        <v>77267.570000000007</v>
      </c>
      <c r="D227" s="107">
        <v>77423.649999999994</v>
      </c>
      <c r="E227" s="106">
        <v>156.08000000000001</v>
      </c>
      <c r="F227" s="106">
        <v>156.08000000000001</v>
      </c>
    </row>
    <row r="228" spans="1:6" x14ac:dyDescent="0.3">
      <c r="A228" s="227"/>
      <c r="B228" s="106" t="s">
        <v>80</v>
      </c>
      <c r="C228" s="107">
        <v>75029.52</v>
      </c>
      <c r="D228" s="107">
        <v>75157.83</v>
      </c>
      <c r="E228" s="106">
        <v>128.31</v>
      </c>
      <c r="F228" s="106">
        <v>128.31</v>
      </c>
    </row>
    <row r="229" spans="1:6" x14ac:dyDescent="0.3">
      <c r="A229" s="227"/>
      <c r="B229" s="106" t="s">
        <v>81</v>
      </c>
      <c r="C229" s="107">
        <v>72614.8</v>
      </c>
      <c r="D229" s="107">
        <v>72715.91</v>
      </c>
      <c r="E229" s="106">
        <v>101.11</v>
      </c>
      <c r="F229" s="106">
        <v>101.11</v>
      </c>
    </row>
    <row r="230" spans="1:6" x14ac:dyDescent="0.3">
      <c r="A230" s="227"/>
      <c r="B230" s="106" t="s">
        <v>82</v>
      </c>
      <c r="C230" s="107">
        <v>70313.440000000002</v>
      </c>
      <c r="D230" s="107">
        <v>70387.12</v>
      </c>
      <c r="E230" s="106">
        <v>73.680000000000007</v>
      </c>
      <c r="F230" s="106">
        <v>73.680000000000007</v>
      </c>
    </row>
    <row r="231" spans="1:6" x14ac:dyDescent="0.3">
      <c r="A231" s="227"/>
      <c r="B231" s="106" t="s">
        <v>83</v>
      </c>
      <c r="C231" s="107">
        <v>68213.08</v>
      </c>
      <c r="D231" s="107">
        <v>68253.070000000007</v>
      </c>
      <c r="E231" s="106">
        <v>39.99</v>
      </c>
      <c r="F231" s="106">
        <v>39.99</v>
      </c>
    </row>
    <row r="232" spans="1:6" x14ac:dyDescent="0.3">
      <c r="A232" s="227"/>
      <c r="B232" s="106" t="s">
        <v>84</v>
      </c>
      <c r="C232" s="107">
        <v>66138.86</v>
      </c>
      <c r="D232" s="107">
        <v>66155.259999999995</v>
      </c>
      <c r="E232" s="106">
        <v>16.399999999999999</v>
      </c>
      <c r="F232" s="106">
        <v>16.399999999999999</v>
      </c>
    </row>
    <row r="233" spans="1:6" x14ac:dyDescent="0.3">
      <c r="A233" s="227"/>
      <c r="B233" s="106" t="s">
        <v>85</v>
      </c>
      <c r="C233" s="107">
        <v>64038.5</v>
      </c>
      <c r="D233" s="107">
        <v>64020.9</v>
      </c>
      <c r="E233" s="106">
        <v>-17.600000000000001</v>
      </c>
      <c r="F233" s="106">
        <v>17.600000000000001</v>
      </c>
    </row>
    <row r="234" spans="1:6" x14ac:dyDescent="0.3">
      <c r="A234" s="227"/>
      <c r="B234" s="106" t="s">
        <v>86</v>
      </c>
      <c r="C234" s="107">
        <v>62071.360000000001</v>
      </c>
      <c r="D234" s="107">
        <v>62034.13</v>
      </c>
      <c r="E234" s="106">
        <v>-37.229999999999997</v>
      </c>
      <c r="F234" s="106">
        <v>37.229999999999997</v>
      </c>
    </row>
    <row r="235" spans="1:6" x14ac:dyDescent="0.3">
      <c r="A235" s="227"/>
      <c r="B235" s="106" t="s">
        <v>87</v>
      </c>
      <c r="C235" s="107">
        <v>60217.05</v>
      </c>
      <c r="D235" s="107">
        <v>60154.83</v>
      </c>
      <c r="E235" s="106">
        <v>-62.22</v>
      </c>
      <c r="F235" s="106">
        <v>62.22</v>
      </c>
    </row>
    <row r="236" spans="1:6" x14ac:dyDescent="0.3">
      <c r="A236" s="227"/>
      <c r="B236" s="106" t="s">
        <v>105</v>
      </c>
      <c r="C236" s="107">
        <v>58316.55</v>
      </c>
      <c r="D236" s="107">
        <v>58230.35</v>
      </c>
      <c r="E236" s="106">
        <v>-86.2</v>
      </c>
      <c r="F236" s="106">
        <v>86.2</v>
      </c>
    </row>
    <row r="237" spans="1:6" x14ac:dyDescent="0.3">
      <c r="A237" s="227"/>
      <c r="B237" s="106" t="s">
        <v>106</v>
      </c>
      <c r="C237" s="107">
        <v>56419.65</v>
      </c>
      <c r="D237" s="107">
        <v>56313.09</v>
      </c>
      <c r="E237" s="106">
        <v>-106.56</v>
      </c>
      <c r="F237" s="106">
        <v>106.56</v>
      </c>
    </row>
    <row r="238" spans="1:6" x14ac:dyDescent="0.3">
      <c r="A238" s="227"/>
      <c r="B238" s="106" t="s">
        <v>88</v>
      </c>
      <c r="C238" s="107">
        <v>54626.66</v>
      </c>
      <c r="D238" s="107">
        <v>54511.01</v>
      </c>
      <c r="E238" s="106">
        <v>-115.65</v>
      </c>
      <c r="F238" s="106">
        <v>115.65</v>
      </c>
    </row>
    <row r="239" spans="1:6" x14ac:dyDescent="0.3">
      <c r="A239" s="227"/>
      <c r="B239" s="106" t="s">
        <v>89</v>
      </c>
      <c r="C239" s="107">
        <v>47938.07</v>
      </c>
      <c r="D239" s="107">
        <v>47789.42</v>
      </c>
      <c r="E239" s="106">
        <v>-148.65</v>
      </c>
      <c r="F239" s="106">
        <v>148.65</v>
      </c>
    </row>
    <row r="240" spans="1:6" x14ac:dyDescent="0.3">
      <c r="A240" s="227"/>
      <c r="B240" s="106" t="s">
        <v>90</v>
      </c>
      <c r="C240" s="107">
        <v>42185.95</v>
      </c>
      <c r="D240" s="107">
        <v>41967.360000000001</v>
      </c>
      <c r="E240" s="106">
        <v>-218.59</v>
      </c>
      <c r="F240" s="106">
        <v>218.59</v>
      </c>
    </row>
    <row r="241" spans="1:6" x14ac:dyDescent="0.3">
      <c r="A241" s="227"/>
      <c r="B241" s="106" t="s">
        <v>91</v>
      </c>
      <c r="C241" s="107">
        <v>37033.85</v>
      </c>
      <c r="D241" s="107">
        <v>36811.57</v>
      </c>
      <c r="E241" s="106">
        <v>-222.28</v>
      </c>
      <c r="F241" s="106">
        <v>222.28</v>
      </c>
    </row>
    <row r="242" spans="1:6" x14ac:dyDescent="0.3">
      <c r="A242" s="227"/>
      <c r="B242" s="106" t="s">
        <v>92</v>
      </c>
      <c r="C242" s="107">
        <v>32576.98</v>
      </c>
      <c r="D242" s="107">
        <v>32381.83</v>
      </c>
      <c r="E242" s="106">
        <v>-195.15</v>
      </c>
      <c r="F242" s="106">
        <v>195.15</v>
      </c>
    </row>
    <row r="243" spans="1:6" x14ac:dyDescent="0.3">
      <c r="A243" s="227"/>
      <c r="B243" s="106" t="s">
        <v>93</v>
      </c>
      <c r="C243" s="107">
        <v>28643.41</v>
      </c>
      <c r="D243" s="107">
        <v>28386.04</v>
      </c>
      <c r="E243" s="106">
        <v>-257.37</v>
      </c>
      <c r="F243" s="106">
        <v>257.37</v>
      </c>
    </row>
    <row r="244" spans="1:6" x14ac:dyDescent="0.3">
      <c r="A244" s="227"/>
      <c r="B244" s="106" t="s">
        <v>94</v>
      </c>
      <c r="C244" s="107">
        <v>25295.9</v>
      </c>
      <c r="D244" s="107">
        <v>25045.68</v>
      </c>
      <c r="E244" s="106">
        <v>-250.22</v>
      </c>
      <c r="F244" s="106">
        <v>250.22</v>
      </c>
    </row>
    <row r="245" spans="1:6" x14ac:dyDescent="0.3">
      <c r="A245" s="227"/>
      <c r="B245" s="106" t="s">
        <v>95</v>
      </c>
      <c r="C245" s="107">
        <v>22305.43</v>
      </c>
      <c r="D245" s="107">
        <v>22064.84</v>
      </c>
      <c r="E245" s="106">
        <v>-240.59</v>
      </c>
      <c r="F245" s="106">
        <v>240.59</v>
      </c>
    </row>
    <row r="246" spans="1:6" x14ac:dyDescent="0.3">
      <c r="A246" s="227"/>
      <c r="B246" s="106" t="s">
        <v>96</v>
      </c>
      <c r="C246" s="107">
        <v>19585.580000000002</v>
      </c>
      <c r="D246" s="107">
        <v>19356.830000000002</v>
      </c>
      <c r="E246" s="106">
        <v>-228.75</v>
      </c>
      <c r="F246" s="106">
        <v>228.75</v>
      </c>
    </row>
    <row r="247" spans="1:6" x14ac:dyDescent="0.3">
      <c r="A247" s="227"/>
      <c r="B247" s="106" t="s">
        <v>97</v>
      </c>
      <c r="C247" s="107">
        <v>17209.89</v>
      </c>
      <c r="D247" s="107">
        <v>16993.22</v>
      </c>
      <c r="E247" s="106">
        <v>-216.67</v>
      </c>
      <c r="F247" s="106">
        <v>216.67</v>
      </c>
    </row>
    <row r="248" spans="1:6" x14ac:dyDescent="0.3">
      <c r="A248" s="227"/>
      <c r="B248" s="106" t="s">
        <v>226</v>
      </c>
      <c r="C248" s="107">
        <v>15170.06</v>
      </c>
      <c r="D248" s="107">
        <v>14965.48</v>
      </c>
      <c r="E248" s="106">
        <v>-204.58</v>
      </c>
      <c r="F248" s="106">
        <v>204.58</v>
      </c>
    </row>
    <row r="249" spans="1:6" x14ac:dyDescent="0.3">
      <c r="A249" s="227" t="s">
        <v>229</v>
      </c>
      <c r="B249" s="106" t="s">
        <v>70</v>
      </c>
      <c r="C249" s="107">
        <v>5189.3810000000003</v>
      </c>
      <c r="D249" s="107">
        <v>5216.84</v>
      </c>
      <c r="E249" s="106">
        <v>27.459</v>
      </c>
      <c r="F249" s="107">
        <v>1372.95</v>
      </c>
    </row>
    <row r="250" spans="1:6" x14ac:dyDescent="0.3">
      <c r="A250" s="227"/>
      <c r="B250" s="106" t="s">
        <v>71</v>
      </c>
      <c r="C250" s="107">
        <v>5223.9719999999998</v>
      </c>
      <c r="D250" s="107">
        <v>5251.3850000000002</v>
      </c>
      <c r="E250" s="106">
        <v>27.413</v>
      </c>
      <c r="F250" s="107">
        <v>1370.65</v>
      </c>
    </row>
    <row r="251" spans="1:6" x14ac:dyDescent="0.3">
      <c r="A251" s="227"/>
      <c r="B251" s="106" t="s">
        <v>99</v>
      </c>
      <c r="C251" s="107">
        <v>5247.4279999999999</v>
      </c>
      <c r="D251" s="107">
        <v>5274.9459999999999</v>
      </c>
      <c r="E251" s="106">
        <v>27.518000000000001</v>
      </c>
      <c r="F251" s="107">
        <v>1375.9</v>
      </c>
    </row>
    <row r="252" spans="1:6" x14ac:dyDescent="0.3">
      <c r="A252" s="227"/>
      <c r="B252" s="106" t="s">
        <v>100</v>
      </c>
      <c r="C252" s="107">
        <v>5280.2280000000001</v>
      </c>
      <c r="D252" s="107">
        <v>5308.0460000000003</v>
      </c>
      <c r="E252" s="106">
        <v>27.818000000000001</v>
      </c>
      <c r="F252" s="107">
        <v>1390.9</v>
      </c>
    </row>
    <row r="253" spans="1:6" x14ac:dyDescent="0.3">
      <c r="A253" s="227"/>
      <c r="B253" s="106" t="s">
        <v>72</v>
      </c>
      <c r="C253" s="107">
        <v>5310.3019999999997</v>
      </c>
      <c r="D253" s="107">
        <v>5337.7849999999999</v>
      </c>
      <c r="E253" s="106">
        <v>27.483000000000001</v>
      </c>
      <c r="F253" s="107">
        <v>1374.15</v>
      </c>
    </row>
    <row r="254" spans="1:6" x14ac:dyDescent="0.3">
      <c r="A254" s="227"/>
      <c r="B254" s="106" t="s">
        <v>101</v>
      </c>
      <c r="C254" s="107">
        <v>5338.652</v>
      </c>
      <c r="D254" s="107">
        <v>5365.2520000000004</v>
      </c>
      <c r="E254" s="106">
        <v>26.6</v>
      </c>
      <c r="F254" s="107">
        <v>1330</v>
      </c>
    </row>
    <row r="255" spans="1:6" x14ac:dyDescent="0.3">
      <c r="A255" s="227"/>
      <c r="B255" s="106" t="s">
        <v>102</v>
      </c>
      <c r="C255" s="107">
        <v>5371.2749999999996</v>
      </c>
      <c r="D255" s="107">
        <v>5397.4440000000004</v>
      </c>
      <c r="E255" s="106">
        <v>26.169</v>
      </c>
      <c r="F255" s="107">
        <v>1308.45</v>
      </c>
    </row>
    <row r="256" spans="1:6" x14ac:dyDescent="0.3">
      <c r="A256" s="227"/>
      <c r="B256" s="106" t="s">
        <v>73</v>
      </c>
      <c r="C256" s="107">
        <v>5397</v>
      </c>
      <c r="D256" s="107">
        <v>5422.0619999999999</v>
      </c>
      <c r="E256" s="106">
        <v>25.062000000000001</v>
      </c>
      <c r="F256" s="107">
        <v>1253.0999999999999</v>
      </c>
    </row>
    <row r="257" spans="1:6" x14ac:dyDescent="0.3">
      <c r="A257" s="227"/>
      <c r="B257" s="106" t="s">
        <v>103</v>
      </c>
      <c r="C257" s="107">
        <v>5424.8639999999996</v>
      </c>
      <c r="D257" s="107">
        <v>5449.067</v>
      </c>
      <c r="E257" s="106">
        <v>24.202999999999999</v>
      </c>
      <c r="F257" s="107">
        <v>1210.1500000000001</v>
      </c>
    </row>
    <row r="258" spans="1:6" x14ac:dyDescent="0.3">
      <c r="A258" s="227"/>
      <c r="B258" s="106" t="s">
        <v>104</v>
      </c>
      <c r="C258" s="107">
        <v>5449.9110000000001</v>
      </c>
      <c r="D258" s="107">
        <v>5473.5969999999998</v>
      </c>
      <c r="E258" s="106">
        <v>23.686</v>
      </c>
      <c r="F258" s="107">
        <v>1184.3</v>
      </c>
    </row>
    <row r="259" spans="1:6" x14ac:dyDescent="0.3">
      <c r="A259" s="227"/>
      <c r="B259" s="106" t="s">
        <v>74</v>
      </c>
      <c r="C259" s="107">
        <v>5473.3149999999996</v>
      </c>
      <c r="D259" s="107">
        <v>5496.2619999999997</v>
      </c>
      <c r="E259" s="106">
        <v>22.946999999999999</v>
      </c>
      <c r="F259" s="107">
        <v>1147.3499999999999</v>
      </c>
    </row>
    <row r="260" spans="1:6" x14ac:dyDescent="0.3">
      <c r="A260" s="227"/>
      <c r="B260" s="106" t="s">
        <v>225</v>
      </c>
      <c r="C260" s="107">
        <v>5506.009</v>
      </c>
      <c r="D260" s="107">
        <v>5527.36</v>
      </c>
      <c r="E260" s="106">
        <v>21.350999999999999</v>
      </c>
      <c r="F260" s="107">
        <v>1067.55</v>
      </c>
    </row>
    <row r="261" spans="1:6" x14ac:dyDescent="0.3">
      <c r="A261" s="227"/>
      <c r="B261" s="106" t="s">
        <v>75</v>
      </c>
      <c r="C261" s="107">
        <v>5557.8649999999998</v>
      </c>
      <c r="D261" s="107">
        <v>5576.9589999999998</v>
      </c>
      <c r="E261" s="106">
        <v>19.094000000000001</v>
      </c>
      <c r="F261" s="106">
        <v>954.7</v>
      </c>
    </row>
    <row r="262" spans="1:6" x14ac:dyDescent="0.3">
      <c r="A262" s="227"/>
      <c r="B262" s="106" t="s">
        <v>76</v>
      </c>
      <c r="C262" s="107">
        <v>5648.4110000000001</v>
      </c>
      <c r="D262" s="107">
        <v>5662.3519999999999</v>
      </c>
      <c r="E262" s="106">
        <v>13.941000000000001</v>
      </c>
      <c r="F262" s="106">
        <v>697.05</v>
      </c>
    </row>
    <row r="263" spans="1:6" x14ac:dyDescent="0.3">
      <c r="A263" s="227"/>
      <c r="B263" s="106" t="s">
        <v>77</v>
      </c>
      <c r="C263" s="107">
        <v>5749.5349999999999</v>
      </c>
      <c r="D263" s="107">
        <v>5758.8670000000002</v>
      </c>
      <c r="E263" s="106">
        <v>9.3320000000000007</v>
      </c>
      <c r="F263" s="106">
        <v>466.6</v>
      </c>
    </row>
    <row r="264" spans="1:6" x14ac:dyDescent="0.3">
      <c r="A264" s="227"/>
      <c r="B264" s="106" t="s">
        <v>78</v>
      </c>
      <c r="C264" s="107">
        <v>5848.0450000000001</v>
      </c>
      <c r="D264" s="107">
        <v>5851.549</v>
      </c>
      <c r="E264" s="106">
        <v>3.504</v>
      </c>
      <c r="F264" s="106">
        <v>175.2</v>
      </c>
    </row>
    <row r="265" spans="1:6" x14ac:dyDescent="0.3">
      <c r="A265" s="227"/>
      <c r="B265" s="106" t="s">
        <v>79</v>
      </c>
      <c r="C265" s="107">
        <v>5958.9170000000004</v>
      </c>
      <c r="D265" s="107">
        <v>5959.2709999999997</v>
      </c>
      <c r="E265" s="106">
        <v>0.35399999999999998</v>
      </c>
      <c r="F265" s="106">
        <v>17.7</v>
      </c>
    </row>
    <row r="266" spans="1:6" x14ac:dyDescent="0.3">
      <c r="A266" s="227"/>
      <c r="B266" s="106" t="s">
        <v>80</v>
      </c>
      <c r="C266" s="107">
        <v>6069.5219999999999</v>
      </c>
      <c r="D266" s="107">
        <v>6070.8410000000003</v>
      </c>
      <c r="E266" s="106">
        <v>1.319</v>
      </c>
      <c r="F266" s="106">
        <v>65.95</v>
      </c>
    </row>
    <row r="267" spans="1:6" x14ac:dyDescent="0.3">
      <c r="A267" s="227"/>
      <c r="B267" s="106" t="s">
        <v>81</v>
      </c>
      <c r="C267" s="107">
        <v>6204.9340000000002</v>
      </c>
      <c r="D267" s="107">
        <v>6206.4279999999999</v>
      </c>
      <c r="E267" s="106">
        <v>1.494</v>
      </c>
      <c r="F267" s="106">
        <v>74.7</v>
      </c>
    </row>
    <row r="268" spans="1:6" x14ac:dyDescent="0.3">
      <c r="A268" s="227"/>
      <c r="B268" s="106" t="s">
        <v>82</v>
      </c>
      <c r="C268" s="107">
        <v>6337.8810000000003</v>
      </c>
      <c r="D268" s="107">
        <v>6341.2070000000003</v>
      </c>
      <c r="E268" s="106">
        <v>3.3260000000000001</v>
      </c>
      <c r="F268" s="106">
        <v>166.3</v>
      </c>
    </row>
    <row r="269" spans="1:6" ht="30" customHeight="1" x14ac:dyDescent="0.3">
      <c r="A269" s="227" t="s">
        <v>230</v>
      </c>
      <c r="B269" s="106" t="s">
        <v>69</v>
      </c>
      <c r="C269" s="106">
        <v>36.71</v>
      </c>
      <c r="D269" s="106">
        <v>35.340000000000003</v>
      </c>
      <c r="E269" s="106">
        <v>-1.37</v>
      </c>
      <c r="F269" s="106">
        <v>1.37</v>
      </c>
    </row>
    <row r="270" spans="1:6" x14ac:dyDescent="0.3">
      <c r="A270" s="227"/>
      <c r="B270" s="106" t="s">
        <v>70</v>
      </c>
      <c r="C270" s="106">
        <v>37.049999999999997</v>
      </c>
      <c r="D270" s="106">
        <v>35.67</v>
      </c>
      <c r="E270" s="106">
        <v>-1.38</v>
      </c>
      <c r="F270" s="106">
        <v>1.38</v>
      </c>
    </row>
    <row r="271" spans="1:6" x14ac:dyDescent="0.3">
      <c r="A271" s="227"/>
      <c r="B271" s="106" t="s">
        <v>71</v>
      </c>
      <c r="C271" s="106">
        <v>37.49</v>
      </c>
      <c r="D271" s="106">
        <v>36.090000000000003</v>
      </c>
      <c r="E271" s="106">
        <v>-1.4</v>
      </c>
      <c r="F271" s="106">
        <v>1.4</v>
      </c>
    </row>
    <row r="272" spans="1:6" ht="45" customHeight="1" x14ac:dyDescent="0.3">
      <c r="A272" s="227" t="s">
        <v>231</v>
      </c>
      <c r="B272" s="106" t="s">
        <v>70</v>
      </c>
      <c r="C272" s="107">
        <v>4251</v>
      </c>
      <c r="D272" s="107">
        <v>4257</v>
      </c>
      <c r="E272" s="106">
        <v>6</v>
      </c>
      <c r="F272" s="106">
        <v>332.96</v>
      </c>
    </row>
    <row r="273" spans="1:6" x14ac:dyDescent="0.3">
      <c r="A273" s="227"/>
      <c r="B273" s="106" t="s">
        <v>100</v>
      </c>
      <c r="C273" s="107">
        <v>4192</v>
      </c>
      <c r="D273" s="107">
        <v>4198</v>
      </c>
      <c r="E273" s="106">
        <v>6</v>
      </c>
      <c r="F273" s="106">
        <v>332.96</v>
      </c>
    </row>
    <row r="274" spans="1:6" x14ac:dyDescent="0.3">
      <c r="A274" s="227"/>
      <c r="B274" s="106" t="s">
        <v>102</v>
      </c>
      <c r="C274" s="107">
        <v>4216</v>
      </c>
      <c r="D274" s="107">
        <v>4223</v>
      </c>
      <c r="E274" s="106">
        <v>7</v>
      </c>
      <c r="F274" s="106">
        <v>388.45</v>
      </c>
    </row>
    <row r="275" spans="1:6" x14ac:dyDescent="0.3">
      <c r="A275" s="227" t="s">
        <v>232</v>
      </c>
      <c r="B275" s="106" t="s">
        <v>69</v>
      </c>
      <c r="C275" s="107">
        <v>2772.5</v>
      </c>
      <c r="D275" s="107">
        <v>2815</v>
      </c>
      <c r="E275" s="106">
        <v>42.5</v>
      </c>
      <c r="F275" s="107">
        <v>1275</v>
      </c>
    </row>
    <row r="276" spans="1:6" x14ac:dyDescent="0.3">
      <c r="A276" s="227"/>
      <c r="B276" s="106" t="s">
        <v>70</v>
      </c>
      <c r="C276" s="107">
        <v>2662.5</v>
      </c>
      <c r="D276" s="107">
        <v>2680</v>
      </c>
      <c r="E276" s="106">
        <v>17.5</v>
      </c>
      <c r="F276" s="106">
        <v>525</v>
      </c>
    </row>
    <row r="277" spans="1:6" x14ac:dyDescent="0.3">
      <c r="A277" s="227"/>
      <c r="B277" s="106" t="s">
        <v>71</v>
      </c>
      <c r="C277" s="107">
        <v>2625</v>
      </c>
      <c r="D277" s="107">
        <v>2625</v>
      </c>
      <c r="E277" s="106">
        <v>0</v>
      </c>
      <c r="F277" s="106">
        <v>0</v>
      </c>
    </row>
    <row r="278" spans="1:6" x14ac:dyDescent="0.3">
      <c r="A278" s="227"/>
      <c r="B278" s="106" t="s">
        <v>99</v>
      </c>
      <c r="C278" s="107">
        <v>2625</v>
      </c>
      <c r="D278" s="107">
        <v>2625</v>
      </c>
      <c r="E278" s="106">
        <v>0</v>
      </c>
      <c r="F278" s="106">
        <v>0</v>
      </c>
    </row>
    <row r="279" spans="1:6" x14ac:dyDescent="0.3">
      <c r="A279" s="227"/>
      <c r="B279" s="106" t="s">
        <v>100</v>
      </c>
      <c r="C279" s="107">
        <v>2620</v>
      </c>
      <c r="D279" s="107">
        <v>2620</v>
      </c>
      <c r="E279" s="106">
        <v>0</v>
      </c>
      <c r="F279" s="106">
        <v>0</v>
      </c>
    </row>
    <row r="280" spans="1:6" x14ac:dyDescent="0.3">
      <c r="A280" s="227"/>
      <c r="B280" s="106" t="s">
        <v>72</v>
      </c>
      <c r="C280" s="107">
        <v>2640</v>
      </c>
      <c r="D280" s="107">
        <v>2640</v>
      </c>
      <c r="E280" s="106">
        <v>0</v>
      </c>
      <c r="F280" s="106">
        <v>0</v>
      </c>
    </row>
    <row r="281" spans="1:6" x14ac:dyDescent="0.3">
      <c r="A281" s="227"/>
      <c r="B281" s="106" t="s">
        <v>101</v>
      </c>
      <c r="C281" s="107">
        <v>2650</v>
      </c>
      <c r="D281" s="107">
        <v>2650</v>
      </c>
      <c r="E281" s="106">
        <v>0</v>
      </c>
      <c r="F281" s="106">
        <v>0</v>
      </c>
    </row>
    <row r="282" spans="1:6" x14ac:dyDescent="0.3">
      <c r="A282" s="227"/>
      <c r="B282" s="106" t="s">
        <v>102</v>
      </c>
      <c r="C282" s="107">
        <v>2660</v>
      </c>
      <c r="D282" s="107">
        <v>2660</v>
      </c>
      <c r="E282" s="106">
        <v>0</v>
      </c>
      <c r="F282" s="106">
        <v>0</v>
      </c>
    </row>
    <row r="283" spans="1:6" x14ac:dyDescent="0.3">
      <c r="A283" s="227"/>
      <c r="B283" s="106" t="s">
        <v>73</v>
      </c>
      <c r="C283" s="107">
        <v>2680</v>
      </c>
      <c r="D283" s="107">
        <v>2680</v>
      </c>
      <c r="E283" s="106">
        <v>0</v>
      </c>
      <c r="F283" s="106">
        <v>0</v>
      </c>
    </row>
    <row r="284" spans="1:6" x14ac:dyDescent="0.3">
      <c r="A284" s="227"/>
      <c r="B284" s="106" t="s">
        <v>103</v>
      </c>
      <c r="C284" s="107">
        <v>2675</v>
      </c>
      <c r="D284" s="107">
        <v>2675</v>
      </c>
      <c r="E284" s="106">
        <v>0</v>
      </c>
      <c r="F284" s="106">
        <v>0</v>
      </c>
    </row>
    <row r="285" spans="1:6" x14ac:dyDescent="0.3">
      <c r="A285" s="227"/>
      <c r="B285" s="106" t="s">
        <v>104</v>
      </c>
      <c r="C285" s="107">
        <v>2690</v>
      </c>
      <c r="D285" s="107">
        <v>2690</v>
      </c>
      <c r="E285" s="106">
        <v>0</v>
      </c>
      <c r="F285" s="106">
        <v>0</v>
      </c>
    </row>
    <row r="286" spans="1:6" x14ac:dyDescent="0.3">
      <c r="A286" s="227"/>
      <c r="B286" s="106" t="s">
        <v>74</v>
      </c>
      <c r="C286" s="107">
        <v>2690</v>
      </c>
      <c r="D286" s="107">
        <v>2690</v>
      </c>
      <c r="E286" s="106">
        <v>0</v>
      </c>
      <c r="F286" s="106">
        <v>0</v>
      </c>
    </row>
    <row r="287" spans="1:6" x14ac:dyDescent="0.3">
      <c r="A287" s="227" t="s">
        <v>233</v>
      </c>
      <c r="B287" s="106" t="s">
        <v>70</v>
      </c>
      <c r="C287" s="107">
        <v>1073.8030000000001</v>
      </c>
      <c r="D287" s="107">
        <v>1073.9110000000001</v>
      </c>
      <c r="E287" s="106">
        <v>0.108</v>
      </c>
      <c r="F287" s="106">
        <v>5.61</v>
      </c>
    </row>
    <row r="288" spans="1:6" x14ac:dyDescent="0.3">
      <c r="A288" s="227"/>
      <c r="B288" s="106" t="s">
        <v>71</v>
      </c>
      <c r="C288" s="107">
        <v>1075.816</v>
      </c>
      <c r="D288" s="107">
        <v>1075.9390000000001</v>
      </c>
      <c r="E288" s="106">
        <v>0.123</v>
      </c>
      <c r="F288" s="106">
        <v>6.39</v>
      </c>
    </row>
    <row r="289" spans="1:6" x14ac:dyDescent="0.3">
      <c r="A289" s="227"/>
      <c r="B289" s="106" t="s">
        <v>99</v>
      </c>
      <c r="C289" s="107">
        <v>1077.5039999999999</v>
      </c>
      <c r="D289" s="107">
        <v>1077.723</v>
      </c>
      <c r="E289" s="106">
        <v>0.219</v>
      </c>
      <c r="F289" s="106">
        <v>11.39</v>
      </c>
    </row>
    <row r="290" spans="1:6" x14ac:dyDescent="0.3">
      <c r="A290" s="227"/>
      <c r="B290" s="106" t="s">
        <v>100</v>
      </c>
      <c r="C290" s="107">
        <v>1079.4590000000001</v>
      </c>
      <c r="D290" s="107">
        <v>1079.702</v>
      </c>
      <c r="E290" s="106">
        <v>0.24299999999999999</v>
      </c>
      <c r="F290" s="106">
        <v>12.63</v>
      </c>
    </row>
    <row r="291" spans="1:6" x14ac:dyDescent="0.3">
      <c r="A291" s="227"/>
      <c r="B291" s="106" t="s">
        <v>72</v>
      </c>
      <c r="C291" s="107">
        <v>1081.2840000000001</v>
      </c>
      <c r="D291" s="107">
        <v>1081.47</v>
      </c>
      <c r="E291" s="106">
        <v>0.186</v>
      </c>
      <c r="F291" s="106">
        <v>9.67</v>
      </c>
    </row>
    <row r="292" spans="1:6" x14ac:dyDescent="0.3">
      <c r="A292" s="227" t="s">
        <v>234</v>
      </c>
      <c r="B292" s="106" t="s">
        <v>70</v>
      </c>
      <c r="C292" s="107">
        <v>5574.0659999999998</v>
      </c>
      <c r="D292" s="107">
        <v>5604.942</v>
      </c>
      <c r="E292" s="106">
        <v>30.876000000000001</v>
      </c>
      <c r="F292" s="107">
        <v>1543.8</v>
      </c>
    </row>
    <row r="293" spans="1:6" x14ac:dyDescent="0.3">
      <c r="A293" s="227"/>
      <c r="B293" s="106" t="s">
        <v>71</v>
      </c>
      <c r="C293" s="107">
        <v>5623.4040000000005</v>
      </c>
      <c r="D293" s="107">
        <v>5653.9470000000001</v>
      </c>
      <c r="E293" s="106">
        <v>30.542999999999999</v>
      </c>
      <c r="F293" s="107">
        <v>1527.15</v>
      </c>
    </row>
    <row r="294" spans="1:6" x14ac:dyDescent="0.3">
      <c r="A294" s="227"/>
      <c r="B294" s="106" t="s">
        <v>99</v>
      </c>
      <c r="C294" s="107">
        <v>5658.0870000000004</v>
      </c>
      <c r="D294" s="107">
        <v>5688.808</v>
      </c>
      <c r="E294" s="106">
        <v>30.721</v>
      </c>
      <c r="F294" s="107">
        <v>1536.05</v>
      </c>
    </row>
    <row r="295" spans="1:6" x14ac:dyDescent="0.3">
      <c r="A295" s="227"/>
      <c r="B295" s="106" t="s">
        <v>100</v>
      </c>
      <c r="C295" s="107">
        <v>5703.0330000000004</v>
      </c>
      <c r="D295" s="107">
        <v>5734.2139999999999</v>
      </c>
      <c r="E295" s="106">
        <v>31.181000000000001</v>
      </c>
      <c r="F295" s="107">
        <v>1559.05</v>
      </c>
    </row>
    <row r="296" spans="1:6" x14ac:dyDescent="0.3">
      <c r="A296" s="227"/>
      <c r="B296" s="106" t="s">
        <v>72</v>
      </c>
      <c r="C296" s="107">
        <v>5744.9080000000004</v>
      </c>
      <c r="D296" s="107">
        <v>5775.9570000000003</v>
      </c>
      <c r="E296" s="106">
        <v>31.048999999999999</v>
      </c>
      <c r="F296" s="107">
        <v>1552.45</v>
      </c>
    </row>
    <row r="297" spans="1:6" x14ac:dyDescent="0.3">
      <c r="A297" s="227" t="s">
        <v>235</v>
      </c>
      <c r="B297" s="106" t="s">
        <v>71</v>
      </c>
      <c r="C297" s="106">
        <v>5.51</v>
      </c>
      <c r="D297" s="106">
        <v>5.56</v>
      </c>
      <c r="E297" s="106">
        <v>0.05</v>
      </c>
      <c r="F297" s="106">
        <v>0.02</v>
      </c>
    </row>
    <row r="298" spans="1:6" x14ac:dyDescent="0.3">
      <c r="A298" s="227"/>
      <c r="B298" s="106" t="s">
        <v>99</v>
      </c>
      <c r="C298" s="106">
        <v>5.68</v>
      </c>
      <c r="D298" s="106">
        <v>5.7</v>
      </c>
      <c r="E298" s="106">
        <v>0.02</v>
      </c>
      <c r="F298" s="106">
        <v>0.01</v>
      </c>
    </row>
    <row r="299" spans="1:6" x14ac:dyDescent="0.3">
      <c r="A299" s="227"/>
      <c r="B299" s="106" t="s">
        <v>100</v>
      </c>
      <c r="C299" s="106">
        <v>5.81</v>
      </c>
      <c r="D299" s="106">
        <v>5.81</v>
      </c>
      <c r="E299" s="106">
        <v>0</v>
      </c>
      <c r="F299" s="106">
        <v>0</v>
      </c>
    </row>
    <row r="300" spans="1:6" x14ac:dyDescent="0.3">
      <c r="A300" s="227"/>
      <c r="B300" s="106" t="s">
        <v>72</v>
      </c>
      <c r="C300" s="106">
        <v>5.79</v>
      </c>
      <c r="D300" s="106">
        <v>5.8</v>
      </c>
      <c r="E300" s="106">
        <v>0.01</v>
      </c>
      <c r="F300" s="106">
        <v>0</v>
      </c>
    </row>
    <row r="301" spans="1:6" x14ac:dyDescent="0.3">
      <c r="A301" s="227"/>
      <c r="B301" s="106" t="s">
        <v>101</v>
      </c>
      <c r="C301" s="106">
        <v>5.97</v>
      </c>
      <c r="D301" s="106">
        <v>6.01</v>
      </c>
      <c r="E301" s="106">
        <v>0.04</v>
      </c>
      <c r="F301" s="106">
        <v>0.02</v>
      </c>
    </row>
    <row r="302" spans="1:6" x14ac:dyDescent="0.3">
      <c r="A302" s="227"/>
      <c r="B302" s="106" t="s">
        <v>102</v>
      </c>
      <c r="C302" s="106">
        <v>6.06</v>
      </c>
      <c r="D302" s="106">
        <v>6.1</v>
      </c>
      <c r="E302" s="106">
        <v>0.04</v>
      </c>
      <c r="F302" s="106">
        <v>0.02</v>
      </c>
    </row>
    <row r="303" spans="1:6" x14ac:dyDescent="0.3">
      <c r="A303" s="227"/>
      <c r="B303" s="106" t="s">
        <v>73</v>
      </c>
      <c r="C303" s="106">
        <v>6.09</v>
      </c>
      <c r="D303" s="106">
        <v>6.15</v>
      </c>
      <c r="E303" s="106">
        <v>0.06</v>
      </c>
      <c r="F303" s="106">
        <v>0.03</v>
      </c>
    </row>
    <row r="304" spans="1:6" x14ac:dyDescent="0.3">
      <c r="A304" s="227"/>
      <c r="B304" s="106" t="s">
        <v>103</v>
      </c>
      <c r="C304" s="106">
        <v>6.17</v>
      </c>
      <c r="D304" s="106">
        <v>6.24</v>
      </c>
      <c r="E304" s="106">
        <v>7.0000000000000007E-2</v>
      </c>
      <c r="F304" s="106">
        <v>0.03</v>
      </c>
    </row>
    <row r="305" spans="1:6" x14ac:dyDescent="0.3">
      <c r="A305" s="227"/>
      <c r="B305" s="106" t="s">
        <v>104</v>
      </c>
      <c r="C305" s="106">
        <v>6.22</v>
      </c>
      <c r="D305" s="106">
        <v>6.29</v>
      </c>
      <c r="E305" s="106">
        <v>7.0000000000000007E-2</v>
      </c>
      <c r="F305" s="106">
        <v>0.03</v>
      </c>
    </row>
    <row r="306" spans="1:6" x14ac:dyDescent="0.3">
      <c r="A306" s="227"/>
      <c r="B306" s="106" t="s">
        <v>74</v>
      </c>
      <c r="C306" s="106">
        <v>6.24</v>
      </c>
      <c r="D306" s="106">
        <v>6.31</v>
      </c>
      <c r="E306" s="106">
        <v>7.0000000000000007E-2</v>
      </c>
      <c r="F306" s="106">
        <v>0.03</v>
      </c>
    </row>
    <row r="307" spans="1:6" x14ac:dyDescent="0.3">
      <c r="A307" s="227"/>
      <c r="B307" s="106" t="s">
        <v>225</v>
      </c>
      <c r="C307" s="106">
        <v>6.24</v>
      </c>
      <c r="D307" s="106">
        <v>6.32</v>
      </c>
      <c r="E307" s="106">
        <v>0.08</v>
      </c>
      <c r="F307" s="106">
        <v>0.04</v>
      </c>
    </row>
    <row r="308" spans="1:6" x14ac:dyDescent="0.3">
      <c r="A308" s="227"/>
      <c r="B308" s="106" t="s">
        <v>75</v>
      </c>
      <c r="C308" s="106">
        <v>6.2</v>
      </c>
      <c r="D308" s="106">
        <v>6.28</v>
      </c>
      <c r="E308" s="106">
        <v>0.08</v>
      </c>
      <c r="F308" s="106">
        <v>0.04</v>
      </c>
    </row>
    <row r="309" spans="1:6" x14ac:dyDescent="0.3">
      <c r="A309" s="227"/>
      <c r="B309" s="106" t="s">
        <v>76</v>
      </c>
      <c r="C309" s="106">
        <v>6.12</v>
      </c>
      <c r="D309" s="106">
        <v>6.22</v>
      </c>
      <c r="E309" s="106">
        <v>0.1</v>
      </c>
      <c r="F309" s="106">
        <v>0.05</v>
      </c>
    </row>
    <row r="310" spans="1:6" x14ac:dyDescent="0.3">
      <c r="A310" s="227"/>
      <c r="B310" s="106" t="s">
        <v>77</v>
      </c>
      <c r="C310" s="106">
        <v>6</v>
      </c>
      <c r="D310" s="106">
        <v>6.13</v>
      </c>
      <c r="E310" s="106">
        <v>0.13</v>
      </c>
      <c r="F310" s="106">
        <v>0.06</v>
      </c>
    </row>
    <row r="311" spans="1:6" x14ac:dyDescent="0.3">
      <c r="A311" s="227"/>
      <c r="B311" s="106" t="s">
        <v>78</v>
      </c>
      <c r="C311" s="106">
        <v>5.89</v>
      </c>
      <c r="D311" s="106">
        <v>6.06</v>
      </c>
      <c r="E311" s="106">
        <v>0.17</v>
      </c>
      <c r="F311" s="106">
        <v>0.08</v>
      </c>
    </row>
    <row r="312" spans="1:6" x14ac:dyDescent="0.3">
      <c r="A312" s="227"/>
      <c r="B312" s="106" t="s">
        <v>79</v>
      </c>
      <c r="C312" s="106">
        <v>5.76</v>
      </c>
      <c r="D312" s="106">
        <v>5.93</v>
      </c>
      <c r="E312" s="106">
        <v>0.17</v>
      </c>
      <c r="F312" s="106">
        <v>0.08</v>
      </c>
    </row>
    <row r="313" spans="1:6" x14ac:dyDescent="0.3">
      <c r="A313" s="227"/>
      <c r="B313" s="106" t="s">
        <v>80</v>
      </c>
      <c r="C313" s="106">
        <v>5.67</v>
      </c>
      <c r="D313" s="106">
        <v>5.83</v>
      </c>
      <c r="E313" s="106">
        <v>0.16</v>
      </c>
      <c r="F313" s="106">
        <v>0.08</v>
      </c>
    </row>
    <row r="314" spans="1:6" x14ac:dyDescent="0.3">
      <c r="A314" s="227"/>
      <c r="B314" s="106" t="s">
        <v>81</v>
      </c>
      <c r="C314" s="106">
        <v>5.58</v>
      </c>
      <c r="D314" s="106">
        <v>5.74</v>
      </c>
      <c r="E314" s="106">
        <v>0.16</v>
      </c>
      <c r="F314" s="106">
        <v>0.08</v>
      </c>
    </row>
    <row r="315" spans="1:6" x14ac:dyDescent="0.3">
      <c r="A315" s="227"/>
      <c r="B315" s="106" t="s">
        <v>82</v>
      </c>
      <c r="C315" s="106">
        <v>5.52</v>
      </c>
      <c r="D315" s="106">
        <v>5.67</v>
      </c>
      <c r="E315" s="106">
        <v>0.15</v>
      </c>
      <c r="F315" s="106">
        <v>7.0000000000000007E-2</v>
      </c>
    </row>
    <row r="316" spans="1:6" x14ac:dyDescent="0.3">
      <c r="A316" s="227"/>
      <c r="B316" s="106" t="s">
        <v>83</v>
      </c>
      <c r="C316" s="106">
        <v>5.45</v>
      </c>
      <c r="D316" s="106">
        <v>5.6</v>
      </c>
      <c r="E316" s="106">
        <v>0.15</v>
      </c>
      <c r="F316" s="106">
        <v>7.0000000000000007E-2</v>
      </c>
    </row>
    <row r="317" spans="1:6" x14ac:dyDescent="0.3">
      <c r="A317" s="227"/>
      <c r="B317" s="106" t="s">
        <v>84</v>
      </c>
      <c r="C317" s="106">
        <v>5.41</v>
      </c>
      <c r="D317" s="106">
        <v>5.56</v>
      </c>
      <c r="E317" s="106">
        <v>0.15</v>
      </c>
      <c r="F317" s="106">
        <v>7.0000000000000007E-2</v>
      </c>
    </row>
    <row r="318" spans="1:6" x14ac:dyDescent="0.3">
      <c r="A318" s="227"/>
      <c r="B318" s="106" t="s">
        <v>85</v>
      </c>
      <c r="C318" s="106">
        <v>5.36</v>
      </c>
      <c r="D318" s="106">
        <v>5.52</v>
      </c>
      <c r="E318" s="106">
        <v>0.16</v>
      </c>
      <c r="F318" s="106">
        <v>0.08</v>
      </c>
    </row>
    <row r="319" spans="1:6" x14ac:dyDescent="0.3">
      <c r="A319" s="227"/>
      <c r="B319" s="106" t="s">
        <v>86</v>
      </c>
      <c r="C319" s="106">
        <v>5.35</v>
      </c>
      <c r="D319" s="106">
        <v>5.51</v>
      </c>
      <c r="E319" s="106">
        <v>0.16</v>
      </c>
      <c r="F319" s="106">
        <v>0.08</v>
      </c>
    </row>
    <row r="320" spans="1:6" x14ac:dyDescent="0.3">
      <c r="A320" s="227"/>
      <c r="B320" s="106" t="s">
        <v>87</v>
      </c>
      <c r="C320" s="106">
        <v>5.34</v>
      </c>
      <c r="D320" s="106">
        <v>5.5</v>
      </c>
      <c r="E320" s="106">
        <v>0.16</v>
      </c>
      <c r="F320" s="106">
        <v>0.08</v>
      </c>
    </row>
    <row r="321" spans="1:6" x14ac:dyDescent="0.3">
      <c r="A321" s="227"/>
      <c r="B321" s="106" t="s">
        <v>105</v>
      </c>
      <c r="C321" s="106">
        <v>5.33</v>
      </c>
      <c r="D321" s="106">
        <v>5.49</v>
      </c>
      <c r="E321" s="106">
        <v>0.16</v>
      </c>
      <c r="F321" s="106">
        <v>0.08</v>
      </c>
    </row>
    <row r="322" spans="1:6" x14ac:dyDescent="0.3">
      <c r="A322" s="227"/>
      <c r="B322" s="106" t="s">
        <v>106</v>
      </c>
      <c r="C322" s="106">
        <v>5.36</v>
      </c>
      <c r="D322" s="106">
        <v>5.51</v>
      </c>
      <c r="E322" s="106">
        <v>0.15</v>
      </c>
      <c r="F322" s="106">
        <v>7.0000000000000007E-2</v>
      </c>
    </row>
    <row r="323" spans="1:6" x14ac:dyDescent="0.3">
      <c r="A323" s="227"/>
      <c r="B323" s="106" t="s">
        <v>88</v>
      </c>
      <c r="C323" s="106">
        <v>5.36</v>
      </c>
      <c r="D323" s="106">
        <v>5.51</v>
      </c>
      <c r="E323" s="106">
        <v>0.15</v>
      </c>
      <c r="F323" s="106">
        <v>7.0000000000000007E-2</v>
      </c>
    </row>
    <row r="324" spans="1:6" x14ac:dyDescent="0.3">
      <c r="A324" s="227"/>
      <c r="B324" s="106" t="s">
        <v>89</v>
      </c>
      <c r="C324" s="106">
        <v>5.44</v>
      </c>
      <c r="D324" s="106">
        <v>5.58</v>
      </c>
      <c r="E324" s="106">
        <v>0.14000000000000001</v>
      </c>
      <c r="F324" s="106">
        <v>7.0000000000000007E-2</v>
      </c>
    </row>
    <row r="325" spans="1:6" x14ac:dyDescent="0.3">
      <c r="A325" s="227"/>
      <c r="B325" s="106" t="s">
        <v>90</v>
      </c>
      <c r="C325" s="106">
        <v>5.51</v>
      </c>
      <c r="D325" s="106">
        <v>5.64</v>
      </c>
      <c r="E325" s="106">
        <v>0.13</v>
      </c>
      <c r="F325" s="106">
        <v>0.06</v>
      </c>
    </row>
    <row r="326" spans="1:6" x14ac:dyDescent="0.3">
      <c r="A326" s="227"/>
      <c r="B326" s="106" t="s">
        <v>91</v>
      </c>
      <c r="C326" s="106">
        <v>5.59</v>
      </c>
      <c r="D326" s="106">
        <v>5.71</v>
      </c>
      <c r="E326" s="106">
        <v>0.12</v>
      </c>
      <c r="F326" s="106">
        <v>0.06</v>
      </c>
    </row>
    <row r="327" spans="1:6" x14ac:dyDescent="0.3">
      <c r="A327" s="227"/>
      <c r="B327" s="106" t="s">
        <v>92</v>
      </c>
      <c r="C327" s="106">
        <v>5.7</v>
      </c>
      <c r="D327" s="106">
        <v>5.82</v>
      </c>
      <c r="E327" s="106">
        <v>0.12</v>
      </c>
      <c r="F327" s="106">
        <v>0.06</v>
      </c>
    </row>
    <row r="328" spans="1:6" x14ac:dyDescent="0.3">
      <c r="A328" s="227"/>
      <c r="B328" s="106" t="s">
        <v>93</v>
      </c>
      <c r="C328" s="106">
        <v>5.84</v>
      </c>
      <c r="D328" s="106">
        <v>5.96</v>
      </c>
      <c r="E328" s="106">
        <v>0.12</v>
      </c>
      <c r="F328" s="106">
        <v>0.06</v>
      </c>
    </row>
    <row r="329" spans="1:6" x14ac:dyDescent="0.3">
      <c r="A329" s="227"/>
      <c r="B329" s="106" t="s">
        <v>94</v>
      </c>
      <c r="C329" s="106">
        <v>6.02</v>
      </c>
      <c r="D329" s="106">
        <v>6.14</v>
      </c>
      <c r="E329" s="106">
        <v>0.12</v>
      </c>
      <c r="F329" s="106">
        <v>0.06</v>
      </c>
    </row>
    <row r="330" spans="1:6" x14ac:dyDescent="0.3">
      <c r="A330" s="227"/>
      <c r="B330" s="106" t="s">
        <v>95</v>
      </c>
      <c r="C330" s="106">
        <v>6.22</v>
      </c>
      <c r="D330" s="106">
        <v>6.34</v>
      </c>
      <c r="E330" s="106">
        <v>0.12</v>
      </c>
      <c r="F330" s="106">
        <v>0.06</v>
      </c>
    </row>
    <row r="331" spans="1:6" x14ac:dyDescent="0.3">
      <c r="A331" s="227"/>
      <c r="B331" s="106" t="s">
        <v>96</v>
      </c>
      <c r="C331" s="106">
        <v>6.41</v>
      </c>
      <c r="D331" s="106">
        <v>6.53</v>
      </c>
      <c r="E331" s="106">
        <v>0.12</v>
      </c>
      <c r="F331" s="106">
        <v>0.06</v>
      </c>
    </row>
    <row r="332" spans="1:6" x14ac:dyDescent="0.3">
      <c r="A332" s="227"/>
      <c r="B332" s="106" t="s">
        <v>97</v>
      </c>
      <c r="C332" s="106">
        <v>6.55</v>
      </c>
      <c r="D332" s="106">
        <v>6.67</v>
      </c>
      <c r="E332" s="106">
        <v>0.12</v>
      </c>
      <c r="F332" s="106">
        <v>0.06</v>
      </c>
    </row>
    <row r="333" spans="1:6" x14ac:dyDescent="0.3">
      <c r="A333" s="227"/>
      <c r="B333" s="106" t="s">
        <v>226</v>
      </c>
      <c r="C333" s="106">
        <v>6.59</v>
      </c>
      <c r="D333" s="106">
        <v>6.71</v>
      </c>
      <c r="E333" s="106">
        <v>0.12</v>
      </c>
      <c r="F333" s="106">
        <v>0.06</v>
      </c>
    </row>
    <row r="334" spans="1:6" x14ac:dyDescent="0.3">
      <c r="A334" s="227" t="s">
        <v>236</v>
      </c>
      <c r="B334" s="106" t="s">
        <v>71</v>
      </c>
      <c r="C334" s="106">
        <v>5.51</v>
      </c>
      <c r="D334" s="106">
        <v>5.56</v>
      </c>
      <c r="E334" s="106">
        <v>0.05</v>
      </c>
      <c r="F334" s="106">
        <v>0.02</v>
      </c>
    </row>
    <row r="335" spans="1:6" x14ac:dyDescent="0.3">
      <c r="A335" s="227"/>
      <c r="B335" s="106" t="s">
        <v>99</v>
      </c>
      <c r="C335" s="106">
        <v>5.68</v>
      </c>
      <c r="D335" s="106">
        <v>5.7</v>
      </c>
      <c r="E335" s="106">
        <v>0.02</v>
      </c>
      <c r="F335" s="106">
        <v>0.01</v>
      </c>
    </row>
    <row r="336" spans="1:6" x14ac:dyDescent="0.3">
      <c r="A336" s="227"/>
      <c r="B336" s="106" t="s">
        <v>100</v>
      </c>
      <c r="C336" s="106">
        <v>5.81</v>
      </c>
      <c r="D336" s="106">
        <v>5.81</v>
      </c>
      <c r="E336" s="106">
        <v>0</v>
      </c>
      <c r="F336" s="106">
        <v>0</v>
      </c>
    </row>
    <row r="337" spans="1:6" x14ac:dyDescent="0.3">
      <c r="A337" s="227"/>
      <c r="B337" s="106" t="s">
        <v>72</v>
      </c>
      <c r="C337" s="106">
        <v>5.79</v>
      </c>
      <c r="D337" s="106">
        <v>5.8</v>
      </c>
      <c r="E337" s="106">
        <v>0.01</v>
      </c>
      <c r="F337" s="106">
        <v>0</v>
      </c>
    </row>
    <row r="338" spans="1:6" x14ac:dyDescent="0.3">
      <c r="A338" s="227"/>
      <c r="B338" s="106" t="s">
        <v>101</v>
      </c>
      <c r="C338" s="106">
        <v>5.97</v>
      </c>
      <c r="D338" s="106">
        <v>6.01</v>
      </c>
      <c r="E338" s="106">
        <v>0.04</v>
      </c>
      <c r="F338" s="106">
        <v>0.02</v>
      </c>
    </row>
    <row r="339" spans="1:6" x14ac:dyDescent="0.3">
      <c r="A339" s="227"/>
      <c r="B339" s="106" t="s">
        <v>102</v>
      </c>
      <c r="C339" s="106">
        <v>6.06</v>
      </c>
      <c r="D339" s="106">
        <v>6.1</v>
      </c>
      <c r="E339" s="106">
        <v>0.04</v>
      </c>
      <c r="F339" s="106">
        <v>0.02</v>
      </c>
    </row>
    <row r="340" spans="1:6" x14ac:dyDescent="0.3">
      <c r="A340" s="227"/>
      <c r="B340" s="106" t="s">
        <v>73</v>
      </c>
      <c r="C340" s="106">
        <v>6.09</v>
      </c>
      <c r="D340" s="106">
        <v>6.15</v>
      </c>
      <c r="E340" s="106">
        <v>0.06</v>
      </c>
      <c r="F340" s="106">
        <v>0.03</v>
      </c>
    </row>
    <row r="341" spans="1:6" x14ac:dyDescent="0.3">
      <c r="A341" s="227"/>
      <c r="B341" s="106" t="s">
        <v>103</v>
      </c>
      <c r="C341" s="106">
        <v>6.17</v>
      </c>
      <c r="D341" s="106">
        <v>6.24</v>
      </c>
      <c r="E341" s="106">
        <v>7.0000000000000007E-2</v>
      </c>
      <c r="F341" s="106">
        <v>0.03</v>
      </c>
    </row>
    <row r="342" spans="1:6" x14ac:dyDescent="0.3">
      <c r="A342" s="227"/>
      <c r="B342" s="106" t="s">
        <v>104</v>
      </c>
      <c r="C342" s="106">
        <v>6.22</v>
      </c>
      <c r="D342" s="106">
        <v>6.29</v>
      </c>
      <c r="E342" s="106">
        <v>7.0000000000000007E-2</v>
      </c>
      <c r="F342" s="106">
        <v>0.03</v>
      </c>
    </row>
    <row r="343" spans="1:6" x14ac:dyDescent="0.3">
      <c r="A343" s="227"/>
      <c r="B343" s="106" t="s">
        <v>74</v>
      </c>
      <c r="C343" s="106">
        <v>6.24</v>
      </c>
      <c r="D343" s="106">
        <v>6.31</v>
      </c>
      <c r="E343" s="106">
        <v>7.0000000000000007E-2</v>
      </c>
      <c r="F343" s="106">
        <v>0.03</v>
      </c>
    </row>
    <row r="344" spans="1:6" x14ac:dyDescent="0.3">
      <c r="A344" s="227"/>
      <c r="B344" s="106" t="s">
        <v>225</v>
      </c>
      <c r="C344" s="106">
        <v>6.24</v>
      </c>
      <c r="D344" s="106">
        <v>6.32</v>
      </c>
      <c r="E344" s="106">
        <v>0.08</v>
      </c>
      <c r="F344" s="106">
        <v>0.04</v>
      </c>
    </row>
    <row r="345" spans="1:6" x14ac:dyDescent="0.3">
      <c r="A345" s="227"/>
      <c r="B345" s="106" t="s">
        <v>75</v>
      </c>
      <c r="C345" s="106">
        <v>6.2</v>
      </c>
      <c r="D345" s="106">
        <v>6.28</v>
      </c>
      <c r="E345" s="106">
        <v>0.08</v>
      </c>
      <c r="F345" s="106">
        <v>0.04</v>
      </c>
    </row>
    <row r="346" spans="1:6" x14ac:dyDescent="0.3">
      <c r="A346" s="227"/>
      <c r="B346" s="106" t="s">
        <v>76</v>
      </c>
      <c r="C346" s="106">
        <v>6.12</v>
      </c>
      <c r="D346" s="106">
        <v>6.22</v>
      </c>
      <c r="E346" s="106">
        <v>0.1</v>
      </c>
      <c r="F346" s="106">
        <v>0.05</v>
      </c>
    </row>
    <row r="347" spans="1:6" x14ac:dyDescent="0.3">
      <c r="A347" s="227"/>
      <c r="B347" s="106" t="s">
        <v>77</v>
      </c>
      <c r="C347" s="106">
        <v>6</v>
      </c>
      <c r="D347" s="106">
        <v>6.13</v>
      </c>
      <c r="E347" s="106">
        <v>0.13</v>
      </c>
      <c r="F347" s="106">
        <v>0.06</v>
      </c>
    </row>
    <row r="348" spans="1:6" x14ac:dyDescent="0.3">
      <c r="A348" s="227"/>
      <c r="B348" s="106" t="s">
        <v>78</v>
      </c>
      <c r="C348" s="106">
        <v>5.89</v>
      </c>
      <c r="D348" s="106">
        <v>6.06</v>
      </c>
      <c r="E348" s="106">
        <v>0.17</v>
      </c>
      <c r="F348" s="106">
        <v>0.08</v>
      </c>
    </row>
    <row r="349" spans="1:6" x14ac:dyDescent="0.3">
      <c r="A349" s="227"/>
      <c r="B349" s="106" t="s">
        <v>79</v>
      </c>
      <c r="C349" s="106">
        <v>5.76</v>
      </c>
      <c r="D349" s="106">
        <v>5.93</v>
      </c>
      <c r="E349" s="106">
        <v>0.17</v>
      </c>
      <c r="F349" s="106">
        <v>0.08</v>
      </c>
    </row>
    <row r="350" spans="1:6" x14ac:dyDescent="0.3">
      <c r="A350" s="227"/>
      <c r="B350" s="106" t="s">
        <v>80</v>
      </c>
      <c r="C350" s="106">
        <v>5.67</v>
      </c>
      <c r="D350" s="106">
        <v>5.83</v>
      </c>
      <c r="E350" s="106">
        <v>0.16</v>
      </c>
      <c r="F350" s="106">
        <v>0.08</v>
      </c>
    </row>
    <row r="351" spans="1:6" x14ac:dyDescent="0.3">
      <c r="A351" s="227"/>
      <c r="B351" s="106" t="s">
        <v>81</v>
      </c>
      <c r="C351" s="106">
        <v>5.58</v>
      </c>
      <c r="D351" s="106">
        <v>5.74</v>
      </c>
      <c r="E351" s="106">
        <v>0.16</v>
      </c>
      <c r="F351" s="106">
        <v>0.08</v>
      </c>
    </row>
    <row r="352" spans="1:6" x14ac:dyDescent="0.3">
      <c r="A352" s="227"/>
      <c r="B352" s="106" t="s">
        <v>82</v>
      </c>
      <c r="C352" s="106">
        <v>5.52</v>
      </c>
      <c r="D352" s="106">
        <v>5.67</v>
      </c>
      <c r="E352" s="106">
        <v>0.15</v>
      </c>
      <c r="F352" s="106">
        <v>7.0000000000000007E-2</v>
      </c>
    </row>
    <row r="353" spans="1:6" x14ac:dyDescent="0.3">
      <c r="A353" s="227"/>
      <c r="B353" s="106" t="s">
        <v>83</v>
      </c>
      <c r="C353" s="106">
        <v>5.45</v>
      </c>
      <c r="D353" s="106">
        <v>5.6</v>
      </c>
      <c r="E353" s="106">
        <v>0.15</v>
      </c>
      <c r="F353" s="106">
        <v>7.0000000000000007E-2</v>
      </c>
    </row>
    <row r="354" spans="1:6" x14ac:dyDescent="0.3">
      <c r="A354" s="227"/>
      <c r="B354" s="106" t="s">
        <v>84</v>
      </c>
      <c r="C354" s="106">
        <v>5.41</v>
      </c>
      <c r="D354" s="106">
        <v>5.56</v>
      </c>
      <c r="E354" s="106">
        <v>0.15</v>
      </c>
      <c r="F354" s="106">
        <v>7.0000000000000007E-2</v>
      </c>
    </row>
    <row r="355" spans="1:6" x14ac:dyDescent="0.3">
      <c r="A355" s="227"/>
      <c r="B355" s="106" t="s">
        <v>85</v>
      </c>
      <c r="C355" s="106">
        <v>5.36</v>
      </c>
      <c r="D355" s="106">
        <v>5.52</v>
      </c>
      <c r="E355" s="106">
        <v>0.16</v>
      </c>
      <c r="F355" s="106">
        <v>0.08</v>
      </c>
    </row>
    <row r="356" spans="1:6" x14ac:dyDescent="0.3">
      <c r="A356" s="227"/>
      <c r="B356" s="106" t="s">
        <v>86</v>
      </c>
      <c r="C356" s="106">
        <v>5.35</v>
      </c>
      <c r="D356" s="106">
        <v>5.51</v>
      </c>
      <c r="E356" s="106">
        <v>0.16</v>
      </c>
      <c r="F356" s="106">
        <v>0.08</v>
      </c>
    </row>
    <row r="357" spans="1:6" x14ac:dyDescent="0.3">
      <c r="A357" s="227"/>
      <c r="B357" s="106" t="s">
        <v>87</v>
      </c>
      <c r="C357" s="106">
        <v>5.34</v>
      </c>
      <c r="D357" s="106">
        <v>5.5</v>
      </c>
      <c r="E357" s="106">
        <v>0.16</v>
      </c>
      <c r="F357" s="106">
        <v>0.08</v>
      </c>
    </row>
    <row r="358" spans="1:6" x14ac:dyDescent="0.3">
      <c r="A358" s="227"/>
      <c r="B358" s="106" t="s">
        <v>105</v>
      </c>
      <c r="C358" s="106">
        <v>5.33</v>
      </c>
      <c r="D358" s="106">
        <v>5.49</v>
      </c>
      <c r="E358" s="106">
        <v>0.16</v>
      </c>
      <c r="F358" s="106">
        <v>0.08</v>
      </c>
    </row>
    <row r="359" spans="1:6" x14ac:dyDescent="0.3">
      <c r="A359" s="227"/>
      <c r="B359" s="106" t="s">
        <v>106</v>
      </c>
      <c r="C359" s="106">
        <v>5.36</v>
      </c>
      <c r="D359" s="106">
        <v>5.51</v>
      </c>
      <c r="E359" s="106">
        <v>0.15</v>
      </c>
      <c r="F359" s="106">
        <v>7.0000000000000007E-2</v>
      </c>
    </row>
    <row r="360" spans="1:6" x14ac:dyDescent="0.3">
      <c r="A360" s="227"/>
      <c r="B360" s="106" t="s">
        <v>88</v>
      </c>
      <c r="C360" s="106">
        <v>5.36</v>
      </c>
      <c r="D360" s="106">
        <v>5.51</v>
      </c>
      <c r="E360" s="106">
        <v>0.15</v>
      </c>
      <c r="F360" s="106">
        <v>7.0000000000000007E-2</v>
      </c>
    </row>
    <row r="361" spans="1:6" x14ac:dyDescent="0.3">
      <c r="A361" s="227"/>
      <c r="B361" s="106" t="s">
        <v>89</v>
      </c>
      <c r="C361" s="106">
        <v>5.44</v>
      </c>
      <c r="D361" s="106">
        <v>5.58</v>
      </c>
      <c r="E361" s="106">
        <v>0.14000000000000001</v>
      </c>
      <c r="F361" s="106">
        <v>7.0000000000000007E-2</v>
      </c>
    </row>
    <row r="362" spans="1:6" x14ac:dyDescent="0.3">
      <c r="A362" s="227"/>
      <c r="B362" s="106" t="s">
        <v>90</v>
      </c>
      <c r="C362" s="106">
        <v>5.51</v>
      </c>
      <c r="D362" s="106">
        <v>5.64</v>
      </c>
      <c r="E362" s="106">
        <v>0.13</v>
      </c>
      <c r="F362" s="106">
        <v>0.06</v>
      </c>
    </row>
    <row r="363" spans="1:6" x14ac:dyDescent="0.3">
      <c r="A363" s="227"/>
      <c r="B363" s="106" t="s">
        <v>91</v>
      </c>
      <c r="C363" s="106">
        <v>5.59</v>
      </c>
      <c r="D363" s="106">
        <v>5.71</v>
      </c>
      <c r="E363" s="106">
        <v>0.12</v>
      </c>
      <c r="F363" s="106">
        <v>0.06</v>
      </c>
    </row>
    <row r="364" spans="1:6" x14ac:dyDescent="0.3">
      <c r="A364" s="227"/>
      <c r="B364" s="106" t="s">
        <v>92</v>
      </c>
      <c r="C364" s="106">
        <v>5.7</v>
      </c>
      <c r="D364" s="106">
        <v>5.82</v>
      </c>
      <c r="E364" s="106">
        <v>0.12</v>
      </c>
      <c r="F364" s="106">
        <v>0.06</v>
      </c>
    </row>
    <row r="365" spans="1:6" x14ac:dyDescent="0.3">
      <c r="A365" s="227"/>
      <c r="B365" s="106" t="s">
        <v>93</v>
      </c>
      <c r="C365" s="106">
        <v>5.84</v>
      </c>
      <c r="D365" s="106">
        <v>5.96</v>
      </c>
      <c r="E365" s="106">
        <v>0.12</v>
      </c>
      <c r="F365" s="106">
        <v>0.06</v>
      </c>
    </row>
    <row r="366" spans="1:6" x14ac:dyDescent="0.3">
      <c r="A366" s="227"/>
      <c r="B366" s="106" t="s">
        <v>94</v>
      </c>
      <c r="C366" s="106">
        <v>6.02</v>
      </c>
      <c r="D366" s="106">
        <v>6.14</v>
      </c>
      <c r="E366" s="106">
        <v>0.12</v>
      </c>
      <c r="F366" s="106">
        <v>0.06</v>
      </c>
    </row>
    <row r="367" spans="1:6" x14ac:dyDescent="0.3">
      <c r="A367" s="227"/>
      <c r="B367" s="106" t="s">
        <v>95</v>
      </c>
      <c r="C367" s="106">
        <v>6.22</v>
      </c>
      <c r="D367" s="106">
        <v>6.34</v>
      </c>
      <c r="E367" s="106">
        <v>0.12</v>
      </c>
      <c r="F367" s="106">
        <v>0.06</v>
      </c>
    </row>
    <row r="368" spans="1:6" x14ac:dyDescent="0.3">
      <c r="A368" s="227"/>
      <c r="B368" s="106" t="s">
        <v>96</v>
      </c>
      <c r="C368" s="106">
        <v>6.41</v>
      </c>
      <c r="D368" s="106">
        <v>6.53</v>
      </c>
      <c r="E368" s="106">
        <v>0.12</v>
      </c>
      <c r="F368" s="106">
        <v>0.06</v>
      </c>
    </row>
    <row r="369" spans="1:6" x14ac:dyDescent="0.3">
      <c r="A369" s="227"/>
      <c r="B369" s="106" t="s">
        <v>97</v>
      </c>
      <c r="C369" s="106">
        <v>6.55</v>
      </c>
      <c r="D369" s="106">
        <v>6.67</v>
      </c>
      <c r="E369" s="106">
        <v>0.12</v>
      </c>
      <c r="F369" s="106">
        <v>0.06</v>
      </c>
    </row>
    <row r="370" spans="1:6" x14ac:dyDescent="0.3">
      <c r="A370" s="227"/>
      <c r="B370" s="106" t="s">
        <v>226</v>
      </c>
      <c r="C370" s="106">
        <v>6.59</v>
      </c>
      <c r="D370" s="106">
        <v>6.71</v>
      </c>
      <c r="E370" s="106">
        <v>0.12</v>
      </c>
      <c r="F370" s="106">
        <v>0.06</v>
      </c>
    </row>
    <row r="371" spans="1:6" ht="15" customHeight="1" x14ac:dyDescent="0.3">
      <c r="A371" s="227" t="s">
        <v>237</v>
      </c>
      <c r="B371" s="106" t="s">
        <v>70</v>
      </c>
      <c r="C371" s="107">
        <v>6304.7030000000004</v>
      </c>
      <c r="D371" s="107">
        <v>6349.9449999999997</v>
      </c>
      <c r="E371" s="106">
        <v>45.241999999999997</v>
      </c>
      <c r="F371" s="107">
        <v>1583.47</v>
      </c>
    </row>
    <row r="372" spans="1:6" x14ac:dyDescent="0.3">
      <c r="A372" s="227"/>
      <c r="B372" s="106" t="s">
        <v>71</v>
      </c>
      <c r="C372" s="107">
        <v>6349.0919999999996</v>
      </c>
      <c r="D372" s="107">
        <v>6394.3379999999997</v>
      </c>
      <c r="E372" s="106">
        <v>45.246000000000002</v>
      </c>
      <c r="F372" s="107">
        <v>1583.61</v>
      </c>
    </row>
    <row r="373" spans="1:6" x14ac:dyDescent="0.3">
      <c r="A373" s="227"/>
      <c r="B373" s="106" t="s">
        <v>99</v>
      </c>
      <c r="C373" s="107">
        <v>6379.6729999999998</v>
      </c>
      <c r="D373" s="107">
        <v>6425.098</v>
      </c>
      <c r="E373" s="106">
        <v>45.424999999999997</v>
      </c>
      <c r="F373" s="107">
        <v>1589.87</v>
      </c>
    </row>
    <row r="374" spans="1:6" x14ac:dyDescent="0.3">
      <c r="A374" s="227"/>
      <c r="B374" s="106" t="s">
        <v>100</v>
      </c>
      <c r="C374" s="107">
        <v>6423.4269999999997</v>
      </c>
      <c r="D374" s="107">
        <v>6469.0680000000002</v>
      </c>
      <c r="E374" s="106">
        <v>45.640999999999998</v>
      </c>
      <c r="F374" s="107">
        <v>1597.43</v>
      </c>
    </row>
    <row r="375" spans="1:6" x14ac:dyDescent="0.3">
      <c r="A375" s="227"/>
      <c r="B375" s="106" t="s">
        <v>72</v>
      </c>
      <c r="C375" s="107">
        <v>6464.9849999999997</v>
      </c>
      <c r="D375" s="107">
        <v>6510.348</v>
      </c>
      <c r="E375" s="106">
        <v>45.363</v>
      </c>
      <c r="F375" s="107">
        <v>1587.7</v>
      </c>
    </row>
    <row r="376" spans="1:6" x14ac:dyDescent="0.3">
      <c r="A376" s="227" t="s">
        <v>238</v>
      </c>
      <c r="B376" s="106" t="s">
        <v>70</v>
      </c>
      <c r="C376" s="107">
        <v>1214.8920000000001</v>
      </c>
      <c r="D376" s="107">
        <v>1217.1559999999999</v>
      </c>
      <c r="E376" s="106">
        <v>2.2639999999999998</v>
      </c>
      <c r="F376" s="106">
        <v>117.75</v>
      </c>
    </row>
    <row r="377" spans="1:6" x14ac:dyDescent="0.3">
      <c r="A377" s="227"/>
      <c r="B377" s="106" t="s">
        <v>71</v>
      </c>
      <c r="C377" s="107">
        <v>1215.626</v>
      </c>
      <c r="D377" s="107">
        <v>1217.8989999999999</v>
      </c>
      <c r="E377" s="106">
        <v>2.2730000000000001</v>
      </c>
      <c r="F377" s="106">
        <v>118.22</v>
      </c>
    </row>
    <row r="378" spans="1:6" x14ac:dyDescent="0.3">
      <c r="A378" s="227"/>
      <c r="B378" s="106" t="s">
        <v>99</v>
      </c>
      <c r="C378" s="107">
        <v>1216.3109999999999</v>
      </c>
      <c r="D378" s="107">
        <v>1218.6030000000001</v>
      </c>
      <c r="E378" s="106">
        <v>2.2919999999999998</v>
      </c>
      <c r="F378" s="106">
        <v>119.21</v>
      </c>
    </row>
    <row r="379" spans="1:6" x14ac:dyDescent="0.3">
      <c r="A379" s="227"/>
      <c r="B379" s="106" t="s">
        <v>100</v>
      </c>
      <c r="C379" s="107">
        <v>1217.1869999999999</v>
      </c>
      <c r="D379" s="107">
        <v>1219.4290000000001</v>
      </c>
      <c r="E379" s="106">
        <v>2.242</v>
      </c>
      <c r="F379" s="106">
        <v>116.61</v>
      </c>
    </row>
    <row r="380" spans="1:6" x14ac:dyDescent="0.3">
      <c r="A380" s="227"/>
      <c r="B380" s="106" t="s">
        <v>72</v>
      </c>
      <c r="C380" s="107">
        <v>1218.086</v>
      </c>
      <c r="D380" s="107">
        <v>1220.2329999999999</v>
      </c>
      <c r="E380" s="106">
        <v>2.1469999999999998</v>
      </c>
      <c r="F380" s="106">
        <v>111.67</v>
      </c>
    </row>
    <row r="381" spans="1:6" ht="45" customHeight="1" x14ac:dyDescent="0.3">
      <c r="A381" s="227" t="s">
        <v>239</v>
      </c>
      <c r="B381" s="106" t="s">
        <v>69</v>
      </c>
      <c r="C381" s="106">
        <v>28.64</v>
      </c>
      <c r="D381" s="106">
        <v>28.7</v>
      </c>
      <c r="E381" s="106">
        <v>0.06</v>
      </c>
      <c r="F381" s="106">
        <v>0.06</v>
      </c>
    </row>
    <row r="382" spans="1:6" x14ac:dyDescent="0.3">
      <c r="A382" s="227"/>
      <c r="B382" s="106" t="s">
        <v>70</v>
      </c>
      <c r="C382" s="106">
        <v>28.87</v>
      </c>
      <c r="D382" s="106">
        <v>28.94</v>
      </c>
      <c r="E382" s="106">
        <v>7.0000000000000007E-2</v>
      </c>
      <c r="F382" s="106">
        <v>7.0000000000000007E-2</v>
      </c>
    </row>
    <row r="383" spans="1:6" x14ac:dyDescent="0.3">
      <c r="A383" s="227"/>
      <c r="B383" s="106" t="s">
        <v>71</v>
      </c>
      <c r="C383" s="106">
        <v>29.17</v>
      </c>
      <c r="D383" s="106">
        <v>29.24</v>
      </c>
      <c r="E383" s="106">
        <v>7.0000000000000007E-2</v>
      </c>
      <c r="F383" s="106">
        <v>7.0000000000000007E-2</v>
      </c>
    </row>
    <row r="384" spans="1:6" ht="90" customHeight="1" x14ac:dyDescent="0.3">
      <c r="A384" s="227" t="s">
        <v>240</v>
      </c>
      <c r="B384" s="106" t="s">
        <v>69</v>
      </c>
      <c r="C384" s="108">
        <v>21176</v>
      </c>
      <c r="D384" s="108">
        <v>21099</v>
      </c>
      <c r="E384" s="106">
        <v>-77</v>
      </c>
      <c r="F384" s="106">
        <v>50.05</v>
      </c>
    </row>
    <row r="385" spans="1:6" x14ac:dyDescent="0.3">
      <c r="A385" s="227"/>
      <c r="B385" s="106" t="s">
        <v>70</v>
      </c>
      <c r="C385" s="108">
        <v>21164</v>
      </c>
      <c r="D385" s="108">
        <v>21090</v>
      </c>
      <c r="E385" s="106">
        <v>-74</v>
      </c>
      <c r="F385" s="106">
        <v>48.1</v>
      </c>
    </row>
    <row r="386" spans="1:6" ht="30" customHeight="1" x14ac:dyDescent="0.3">
      <c r="A386" s="227" t="s">
        <v>241</v>
      </c>
      <c r="B386" s="106" t="s">
        <v>69</v>
      </c>
      <c r="C386" s="106">
        <v>45.49</v>
      </c>
      <c r="D386" s="106">
        <v>45.15</v>
      </c>
      <c r="E386" s="106">
        <v>-0.34</v>
      </c>
      <c r="F386" s="106">
        <v>0.34</v>
      </c>
    </row>
    <row r="387" spans="1:6" x14ac:dyDescent="0.3">
      <c r="A387" s="227"/>
      <c r="B387" s="106" t="s">
        <v>70</v>
      </c>
      <c r="C387" s="106">
        <v>45.9</v>
      </c>
      <c r="D387" s="106">
        <v>45.55</v>
      </c>
      <c r="E387" s="106">
        <v>-0.35</v>
      </c>
      <c r="F387" s="106">
        <v>0.35</v>
      </c>
    </row>
    <row r="388" spans="1:6" x14ac:dyDescent="0.3">
      <c r="A388" s="227"/>
      <c r="B388" s="106" t="s">
        <v>71</v>
      </c>
      <c r="C388" s="106">
        <v>46.42</v>
      </c>
      <c r="D388" s="106">
        <v>46.08</v>
      </c>
      <c r="E388" s="106">
        <v>-0.34</v>
      </c>
      <c r="F388" s="106">
        <v>0.34</v>
      </c>
    </row>
    <row r="389" spans="1:6" x14ac:dyDescent="0.3">
      <c r="A389" s="227" t="s">
        <v>242</v>
      </c>
      <c r="B389" s="106" t="s">
        <v>70</v>
      </c>
      <c r="C389" s="106">
        <v>232.5</v>
      </c>
      <c r="D389" s="106">
        <v>236.45</v>
      </c>
      <c r="E389" s="106">
        <v>3.95</v>
      </c>
      <c r="F389" s="107">
        <v>2054.5500000000002</v>
      </c>
    </row>
    <row r="390" spans="1:6" x14ac:dyDescent="0.3">
      <c r="A390" s="227"/>
      <c r="B390" s="106" t="s">
        <v>99</v>
      </c>
      <c r="C390" s="106">
        <v>218.95</v>
      </c>
      <c r="D390" s="106">
        <v>227.55</v>
      </c>
      <c r="E390" s="106">
        <v>8.6</v>
      </c>
      <c r="F390" s="107">
        <v>4473.2</v>
      </c>
    </row>
    <row r="391" spans="1:6" x14ac:dyDescent="0.3">
      <c r="A391" s="227"/>
      <c r="B391" s="106" t="s">
        <v>72</v>
      </c>
      <c r="C391" s="106">
        <v>217.8</v>
      </c>
      <c r="D391" s="106">
        <v>226.35</v>
      </c>
      <c r="E391" s="106">
        <v>8.5500000000000007</v>
      </c>
      <c r="F391" s="107">
        <v>4447.1899999999996</v>
      </c>
    </row>
    <row r="392" spans="1:6" x14ac:dyDescent="0.3">
      <c r="A392" s="227"/>
      <c r="B392" s="106" t="s">
        <v>102</v>
      </c>
      <c r="C392" s="106">
        <v>214</v>
      </c>
      <c r="D392" s="106">
        <v>221.4</v>
      </c>
      <c r="E392" s="106">
        <v>7.4</v>
      </c>
      <c r="F392" s="107">
        <v>3849.03</v>
      </c>
    </row>
    <row r="393" spans="1:6" x14ac:dyDescent="0.3">
      <c r="A393" s="227"/>
      <c r="B393" s="106" t="s">
        <v>104</v>
      </c>
      <c r="C393" s="106">
        <v>213.2</v>
      </c>
      <c r="D393" s="106">
        <v>221.2</v>
      </c>
      <c r="E393" s="106">
        <v>8</v>
      </c>
      <c r="F393" s="107">
        <v>4161.12</v>
      </c>
    </row>
    <row r="394" spans="1:6" x14ac:dyDescent="0.3">
      <c r="A394" s="227"/>
      <c r="B394" s="106" t="s">
        <v>210</v>
      </c>
      <c r="C394" s="106">
        <v>202.05</v>
      </c>
      <c r="D394" s="106">
        <v>209.9</v>
      </c>
      <c r="E394" s="106">
        <v>7.85</v>
      </c>
      <c r="F394" s="107">
        <v>4083.09</v>
      </c>
    </row>
    <row r="395" spans="1:6" x14ac:dyDescent="0.3">
      <c r="A395" s="227"/>
      <c r="B395" s="106" t="s">
        <v>243</v>
      </c>
      <c r="C395" s="106">
        <v>203.35</v>
      </c>
      <c r="D395" s="106">
        <v>210.95</v>
      </c>
      <c r="E395" s="106">
        <v>7.6</v>
      </c>
      <c r="F395" s="107">
        <v>3953.06</v>
      </c>
    </row>
    <row r="396" spans="1:6" x14ac:dyDescent="0.3">
      <c r="A396" s="227"/>
      <c r="B396" s="106" t="s">
        <v>211</v>
      </c>
      <c r="C396" s="106">
        <v>205.75</v>
      </c>
      <c r="D396" s="106">
        <v>213.35</v>
      </c>
      <c r="E396" s="106">
        <v>7.6</v>
      </c>
      <c r="F396" s="107">
        <v>3953.06</v>
      </c>
    </row>
    <row r="397" spans="1:6" ht="60" customHeight="1" x14ac:dyDescent="0.3">
      <c r="A397" s="227" t="s">
        <v>244</v>
      </c>
      <c r="B397" s="106" t="s">
        <v>69</v>
      </c>
      <c r="C397" s="107">
        <v>265590</v>
      </c>
      <c r="D397" s="107">
        <v>266438</v>
      </c>
      <c r="E397" s="106">
        <v>848</v>
      </c>
      <c r="F397" s="106">
        <v>228.87</v>
      </c>
    </row>
    <row r="398" spans="1:6" x14ac:dyDescent="0.3">
      <c r="A398" s="227"/>
      <c r="B398" s="106" t="s">
        <v>70</v>
      </c>
      <c r="C398" s="107">
        <v>281040</v>
      </c>
      <c r="D398" s="107">
        <v>281677</v>
      </c>
      <c r="E398" s="106">
        <v>637</v>
      </c>
      <c r="F398" s="106">
        <v>171.92</v>
      </c>
    </row>
    <row r="399" spans="1:6" x14ac:dyDescent="0.3">
      <c r="A399" s="227" t="s">
        <v>245</v>
      </c>
      <c r="B399" s="106" t="s">
        <v>69</v>
      </c>
      <c r="C399" s="108">
        <v>109011</v>
      </c>
      <c r="D399" s="108">
        <v>107792</v>
      </c>
      <c r="E399" s="108">
        <v>-1219</v>
      </c>
      <c r="F399" s="107">
        <v>1219</v>
      </c>
    </row>
    <row r="400" spans="1:6" x14ac:dyDescent="0.3">
      <c r="A400" s="227"/>
      <c r="B400" s="106" t="s">
        <v>71</v>
      </c>
      <c r="C400" s="108">
        <v>110830</v>
      </c>
      <c r="D400" s="108">
        <v>109562</v>
      </c>
      <c r="E400" s="108">
        <v>-1268</v>
      </c>
      <c r="F400" s="107">
        <v>1268</v>
      </c>
    </row>
    <row r="401" spans="1:6" x14ac:dyDescent="0.3">
      <c r="A401" s="227"/>
      <c r="B401" s="106" t="s">
        <v>100</v>
      </c>
      <c r="C401" s="108">
        <v>112940</v>
      </c>
      <c r="D401" s="108">
        <v>111610</v>
      </c>
      <c r="E401" s="108">
        <v>-1330</v>
      </c>
      <c r="F401" s="107">
        <v>1330</v>
      </c>
    </row>
    <row r="402" spans="1:6" x14ac:dyDescent="0.3">
      <c r="A402" s="227"/>
      <c r="B402" s="106" t="s">
        <v>101</v>
      </c>
      <c r="C402" s="108">
        <v>115224</v>
      </c>
      <c r="D402" s="108">
        <v>113816</v>
      </c>
      <c r="E402" s="108">
        <v>-1408</v>
      </c>
      <c r="F402" s="107">
        <v>1408</v>
      </c>
    </row>
    <row r="403" spans="1:6" x14ac:dyDescent="0.3">
      <c r="A403" s="227"/>
      <c r="B403" s="106" t="s">
        <v>73</v>
      </c>
      <c r="C403" s="108">
        <v>117425</v>
      </c>
      <c r="D403" s="108">
        <v>115937</v>
      </c>
      <c r="E403" s="108">
        <v>-1488</v>
      </c>
      <c r="F403" s="107">
        <v>1488</v>
      </c>
    </row>
    <row r="404" spans="1:6" x14ac:dyDescent="0.3">
      <c r="A404" s="227"/>
      <c r="B404" s="106" t="s">
        <v>104</v>
      </c>
      <c r="C404" s="108">
        <v>119377</v>
      </c>
      <c r="D404" s="108">
        <v>117817</v>
      </c>
      <c r="E404" s="108">
        <v>-1560</v>
      </c>
      <c r="F404" s="107">
        <v>1560</v>
      </c>
    </row>
    <row r="405" spans="1:6" x14ac:dyDescent="0.3">
      <c r="A405" s="227"/>
      <c r="B405" s="106" t="s">
        <v>225</v>
      </c>
      <c r="C405" s="108">
        <v>121492</v>
      </c>
      <c r="D405" s="108">
        <v>119836</v>
      </c>
      <c r="E405" s="108">
        <v>-1656</v>
      </c>
      <c r="F405" s="107">
        <v>1656</v>
      </c>
    </row>
    <row r="406" spans="1:6" x14ac:dyDescent="0.3">
      <c r="A406" s="227"/>
      <c r="B406" s="106" t="s">
        <v>75</v>
      </c>
      <c r="C406" s="108">
        <v>123743</v>
      </c>
      <c r="D406" s="108">
        <v>121974</v>
      </c>
      <c r="E406" s="108">
        <v>-1769</v>
      </c>
      <c r="F406" s="107">
        <v>1769</v>
      </c>
    </row>
    <row r="407" spans="1:6" x14ac:dyDescent="0.3">
      <c r="A407" s="227"/>
      <c r="B407" s="106" t="s">
        <v>246</v>
      </c>
      <c r="C407" s="108">
        <v>125690</v>
      </c>
      <c r="D407" s="108">
        <v>123818</v>
      </c>
      <c r="E407" s="108">
        <v>-1872</v>
      </c>
      <c r="F407" s="107">
        <v>1872</v>
      </c>
    </row>
    <row r="408" spans="1:6" x14ac:dyDescent="0.3">
      <c r="A408" s="227"/>
      <c r="B408" s="106" t="s">
        <v>137</v>
      </c>
      <c r="C408" s="108">
        <v>127984</v>
      </c>
      <c r="D408" s="108">
        <v>126014</v>
      </c>
      <c r="E408" s="108">
        <v>-1970</v>
      </c>
      <c r="F408" s="107">
        <v>1970</v>
      </c>
    </row>
    <row r="409" spans="1:6" x14ac:dyDescent="0.3">
      <c r="A409" s="227"/>
      <c r="B409" s="106" t="s">
        <v>77</v>
      </c>
      <c r="C409" s="108">
        <v>130294</v>
      </c>
      <c r="D409" s="108">
        <v>128233</v>
      </c>
      <c r="E409" s="108">
        <v>-2061</v>
      </c>
      <c r="F409" s="107">
        <v>2061</v>
      </c>
    </row>
    <row r="410" spans="1:6" x14ac:dyDescent="0.3">
      <c r="A410" s="227"/>
      <c r="B410" s="106" t="s">
        <v>247</v>
      </c>
      <c r="C410" s="108">
        <v>132578</v>
      </c>
      <c r="D410" s="108">
        <v>130434</v>
      </c>
      <c r="E410" s="108">
        <v>-2144</v>
      </c>
      <c r="F410" s="107">
        <v>2144</v>
      </c>
    </row>
    <row r="411" spans="1:6" ht="60" customHeight="1" x14ac:dyDescent="0.3">
      <c r="A411" s="227" t="s">
        <v>248</v>
      </c>
      <c r="B411" s="106" t="s">
        <v>70</v>
      </c>
      <c r="C411" s="107">
        <v>27700</v>
      </c>
      <c r="D411" s="107">
        <v>27745</v>
      </c>
      <c r="E411" s="106">
        <v>45</v>
      </c>
      <c r="F411" s="106">
        <v>87.84</v>
      </c>
    </row>
    <row r="412" spans="1:6" x14ac:dyDescent="0.3">
      <c r="A412" s="227"/>
      <c r="B412" s="106" t="s">
        <v>100</v>
      </c>
      <c r="C412" s="107">
        <v>27440</v>
      </c>
      <c r="D412" s="107">
        <v>27485</v>
      </c>
      <c r="E412" s="106">
        <v>45</v>
      </c>
      <c r="F412" s="106">
        <v>87.84</v>
      </c>
    </row>
    <row r="413" spans="1:6" x14ac:dyDescent="0.3">
      <c r="A413" s="227" t="s">
        <v>249</v>
      </c>
      <c r="B413" s="106" t="s">
        <v>70</v>
      </c>
      <c r="C413" s="107">
        <v>4146</v>
      </c>
      <c r="D413" s="107">
        <v>4145.75</v>
      </c>
      <c r="E413" s="106">
        <v>-0.25</v>
      </c>
      <c r="F413" s="106">
        <v>65.010000000000005</v>
      </c>
    </row>
    <row r="414" spans="1:6" x14ac:dyDescent="0.3">
      <c r="A414" s="227"/>
      <c r="B414" s="106" t="s">
        <v>100</v>
      </c>
      <c r="C414" s="107">
        <v>4190.75</v>
      </c>
      <c r="D414" s="107">
        <v>4199</v>
      </c>
      <c r="E414" s="106">
        <v>8.25</v>
      </c>
      <c r="F414" s="107">
        <v>2145.5700000000002</v>
      </c>
    </row>
    <row r="415" spans="1:6" x14ac:dyDescent="0.3">
      <c r="A415" s="227"/>
      <c r="B415" s="106" t="s">
        <v>102</v>
      </c>
      <c r="C415" s="107">
        <v>4223.5</v>
      </c>
      <c r="D415" s="107">
        <v>4224</v>
      </c>
      <c r="E415" s="106">
        <v>0.5</v>
      </c>
      <c r="F415" s="106">
        <v>130.03</v>
      </c>
    </row>
    <row r="416" spans="1:6" x14ac:dyDescent="0.3">
      <c r="A416" s="227"/>
      <c r="B416" s="106" t="s">
        <v>104</v>
      </c>
      <c r="C416" s="107">
        <v>4257</v>
      </c>
      <c r="D416" s="107">
        <v>4265.5</v>
      </c>
      <c r="E416" s="106">
        <v>8.5</v>
      </c>
      <c r="F416" s="107">
        <v>2210.59</v>
      </c>
    </row>
    <row r="417" spans="1:6" ht="30" customHeight="1" x14ac:dyDescent="0.3">
      <c r="A417" s="227" t="s">
        <v>250</v>
      </c>
      <c r="B417" s="106" t="s">
        <v>69</v>
      </c>
      <c r="C417" s="106">
        <v>8.76</v>
      </c>
      <c r="D417" s="106">
        <v>8.69</v>
      </c>
      <c r="E417" s="106">
        <v>-7.0000000000000007E-2</v>
      </c>
      <c r="F417" s="106">
        <v>7.0000000000000007E-2</v>
      </c>
    </row>
    <row r="418" spans="1:6" x14ac:dyDescent="0.3">
      <c r="A418" s="227"/>
      <c r="B418" s="106" t="s">
        <v>70</v>
      </c>
      <c r="C418" s="106">
        <v>8.84</v>
      </c>
      <c r="D418" s="106">
        <v>8.77</v>
      </c>
      <c r="E418" s="106">
        <v>-7.0000000000000007E-2</v>
      </c>
      <c r="F418" s="106">
        <v>7.0000000000000007E-2</v>
      </c>
    </row>
    <row r="419" spans="1:6" x14ac:dyDescent="0.3">
      <c r="A419" s="227"/>
      <c r="B419" s="106" t="s">
        <v>71</v>
      </c>
      <c r="C419" s="106">
        <v>8.94</v>
      </c>
      <c r="D419" s="106">
        <v>8.8800000000000008</v>
      </c>
      <c r="E419" s="106">
        <v>-0.06</v>
      </c>
      <c r="F419" s="106">
        <v>0.06</v>
      </c>
    </row>
    <row r="420" spans="1:6" ht="30" customHeight="1" x14ac:dyDescent="0.3">
      <c r="A420" s="227" t="s">
        <v>251</v>
      </c>
      <c r="B420" s="106" t="s">
        <v>69</v>
      </c>
      <c r="C420" s="106">
        <v>26.76</v>
      </c>
      <c r="D420" s="106">
        <v>26.42</v>
      </c>
      <c r="E420" s="106">
        <v>-0.34</v>
      </c>
      <c r="F420" s="106">
        <v>0.34</v>
      </c>
    </row>
    <row r="421" spans="1:6" x14ac:dyDescent="0.3">
      <c r="A421" s="227"/>
      <c r="B421" s="106" t="s">
        <v>70</v>
      </c>
      <c r="C421" s="106">
        <v>27.01</v>
      </c>
      <c r="D421" s="106">
        <v>26.66</v>
      </c>
      <c r="E421" s="106">
        <v>-0.35</v>
      </c>
      <c r="F421" s="106">
        <v>0.35</v>
      </c>
    </row>
    <row r="422" spans="1:6" x14ac:dyDescent="0.3">
      <c r="A422" s="227"/>
      <c r="B422" s="106" t="s">
        <v>71</v>
      </c>
      <c r="C422" s="106">
        <v>27.33</v>
      </c>
      <c r="D422" s="106">
        <v>26.98</v>
      </c>
      <c r="E422" s="106">
        <v>-0.35</v>
      </c>
      <c r="F422" s="106">
        <v>0.35</v>
      </c>
    </row>
    <row r="423" spans="1:6" x14ac:dyDescent="0.3">
      <c r="A423" s="227" t="s">
        <v>252</v>
      </c>
      <c r="B423" s="106" t="s">
        <v>70</v>
      </c>
      <c r="C423" s="107">
        <v>132199.58600000001</v>
      </c>
      <c r="D423" s="107">
        <v>132835.011</v>
      </c>
      <c r="E423" s="106">
        <v>635.42499999999995</v>
      </c>
      <c r="F423" s="106">
        <v>248.06</v>
      </c>
    </row>
    <row r="424" spans="1:6" x14ac:dyDescent="0.3">
      <c r="A424" s="227"/>
      <c r="B424" s="106" t="s">
        <v>71</v>
      </c>
      <c r="C424" s="107">
        <v>131612.52499999999</v>
      </c>
      <c r="D424" s="107">
        <v>132260.15400000001</v>
      </c>
      <c r="E424" s="106">
        <v>647.62900000000002</v>
      </c>
      <c r="F424" s="106">
        <v>252.83</v>
      </c>
    </row>
    <row r="425" spans="1:6" x14ac:dyDescent="0.3">
      <c r="A425" s="227"/>
      <c r="B425" s="106" t="s">
        <v>99</v>
      </c>
      <c r="C425" s="107">
        <v>131094.13099999999</v>
      </c>
      <c r="D425" s="107">
        <v>131721.15900000001</v>
      </c>
      <c r="E425" s="106">
        <v>627.02800000000002</v>
      </c>
      <c r="F425" s="106">
        <v>244.79</v>
      </c>
    </row>
    <row r="426" spans="1:6" x14ac:dyDescent="0.3">
      <c r="A426" s="227"/>
      <c r="B426" s="106" t="s">
        <v>100</v>
      </c>
      <c r="C426" s="107">
        <v>130454.495</v>
      </c>
      <c r="D426" s="107">
        <v>131073.22</v>
      </c>
      <c r="E426" s="106">
        <v>618.72500000000002</v>
      </c>
      <c r="F426" s="106">
        <v>241.55</v>
      </c>
    </row>
    <row r="427" spans="1:6" x14ac:dyDescent="0.3">
      <c r="A427" s="227"/>
      <c r="B427" s="106" t="s">
        <v>72</v>
      </c>
      <c r="C427" s="107">
        <v>129826.98699999999</v>
      </c>
      <c r="D427" s="107">
        <v>130463.856</v>
      </c>
      <c r="E427" s="106">
        <v>636.86900000000003</v>
      </c>
      <c r="F427" s="106">
        <v>248.63</v>
      </c>
    </row>
    <row r="428" spans="1:6" x14ac:dyDescent="0.3">
      <c r="A428" s="227"/>
      <c r="B428" s="106" t="s">
        <v>78</v>
      </c>
      <c r="C428" s="107">
        <v>120610.336</v>
      </c>
      <c r="D428" s="107">
        <v>120935.71799999999</v>
      </c>
      <c r="E428" s="106">
        <v>325.38200000000001</v>
      </c>
      <c r="F428" s="106">
        <v>127.02</v>
      </c>
    </row>
    <row r="429" spans="1:6" ht="30" customHeight="1" x14ac:dyDescent="0.3">
      <c r="A429" s="227" t="s">
        <v>253</v>
      </c>
      <c r="B429" s="106" t="s">
        <v>69</v>
      </c>
      <c r="C429" s="106">
        <v>19.43</v>
      </c>
      <c r="D429" s="106">
        <v>19.21</v>
      </c>
      <c r="E429" s="106">
        <v>-0.22</v>
      </c>
      <c r="F429" s="106">
        <v>0.22</v>
      </c>
    </row>
    <row r="430" spans="1:6" x14ac:dyDescent="0.3">
      <c r="A430" s="227"/>
      <c r="B430" s="106" t="s">
        <v>70</v>
      </c>
      <c r="C430" s="106">
        <v>19.600000000000001</v>
      </c>
      <c r="D430" s="106">
        <v>19.38</v>
      </c>
      <c r="E430" s="106">
        <v>-0.22</v>
      </c>
      <c r="F430" s="106">
        <v>0.22</v>
      </c>
    </row>
    <row r="431" spans="1:6" x14ac:dyDescent="0.3">
      <c r="A431" s="227"/>
      <c r="B431" s="106" t="s">
        <v>71</v>
      </c>
      <c r="C431" s="106">
        <v>19.829999999999998</v>
      </c>
      <c r="D431" s="106">
        <v>19.61</v>
      </c>
      <c r="E431" s="106">
        <v>-0.22</v>
      </c>
      <c r="F431" s="106">
        <v>0.22</v>
      </c>
    </row>
    <row r="432" spans="1:6" x14ac:dyDescent="0.3">
      <c r="A432" s="227" t="s">
        <v>254</v>
      </c>
      <c r="B432" s="106" t="s">
        <v>70</v>
      </c>
      <c r="C432" s="107">
        <v>3924.95</v>
      </c>
      <c r="D432" s="107">
        <v>3927.39</v>
      </c>
      <c r="E432" s="106">
        <v>2.44</v>
      </c>
      <c r="F432" s="106">
        <v>122</v>
      </c>
    </row>
    <row r="433" spans="1:6" x14ac:dyDescent="0.3">
      <c r="A433" s="227"/>
      <c r="B433" s="106" t="s">
        <v>71</v>
      </c>
      <c r="C433" s="107">
        <v>3968.7</v>
      </c>
      <c r="D433" s="107">
        <v>3971.01</v>
      </c>
      <c r="E433" s="106">
        <v>2.31</v>
      </c>
      <c r="F433" s="106">
        <v>115.5</v>
      </c>
    </row>
    <row r="434" spans="1:6" x14ac:dyDescent="0.3">
      <c r="A434" s="227"/>
      <c r="B434" s="106" t="s">
        <v>99</v>
      </c>
      <c r="C434" s="107">
        <v>4002.18</v>
      </c>
      <c r="D434" s="107">
        <v>4004.51</v>
      </c>
      <c r="E434" s="106">
        <v>2.33</v>
      </c>
      <c r="F434" s="106">
        <v>116.5</v>
      </c>
    </row>
    <row r="435" spans="1:6" x14ac:dyDescent="0.3">
      <c r="A435" s="227"/>
      <c r="B435" s="106" t="s">
        <v>100</v>
      </c>
      <c r="C435" s="107">
        <v>4044.59</v>
      </c>
      <c r="D435" s="107">
        <v>4047.04</v>
      </c>
      <c r="E435" s="106">
        <v>2.4500000000000002</v>
      </c>
      <c r="F435" s="106">
        <v>122.5</v>
      </c>
    </row>
    <row r="436" spans="1:6" x14ac:dyDescent="0.3">
      <c r="A436" s="227"/>
      <c r="B436" s="106" t="s">
        <v>72</v>
      </c>
      <c r="C436" s="107">
        <v>4087.23</v>
      </c>
      <c r="D436" s="107">
        <v>4089.42</v>
      </c>
      <c r="E436" s="106">
        <v>2.19</v>
      </c>
      <c r="F436" s="106">
        <v>109.5</v>
      </c>
    </row>
    <row r="437" spans="1:6" x14ac:dyDescent="0.3">
      <c r="A437" s="227"/>
      <c r="B437" s="106" t="s">
        <v>78</v>
      </c>
      <c r="C437" s="107">
        <v>4835.79</v>
      </c>
      <c r="D437" s="107">
        <v>4827.1899999999996</v>
      </c>
      <c r="E437" s="106">
        <v>-8.6</v>
      </c>
      <c r="F437" s="106">
        <v>430</v>
      </c>
    </row>
    <row r="438" spans="1:6" ht="90" customHeight="1" x14ac:dyDescent="0.3">
      <c r="A438" s="227" t="s">
        <v>255</v>
      </c>
      <c r="B438" s="106" t="s">
        <v>70</v>
      </c>
      <c r="C438" s="108">
        <v>73869</v>
      </c>
      <c r="D438" s="108">
        <v>73984</v>
      </c>
      <c r="E438" s="106">
        <v>115</v>
      </c>
      <c r="F438" s="106">
        <v>46</v>
      </c>
    </row>
    <row r="439" spans="1:6" x14ac:dyDescent="0.3">
      <c r="A439" s="227"/>
      <c r="B439" s="106" t="s">
        <v>100</v>
      </c>
      <c r="C439" s="108">
        <v>74622</v>
      </c>
      <c r="D439" s="108">
        <v>74767</v>
      </c>
      <c r="E439" s="106">
        <v>145</v>
      </c>
      <c r="F439" s="106">
        <v>58</v>
      </c>
    </row>
    <row r="440" spans="1:6" ht="30" customHeight="1" x14ac:dyDescent="0.3">
      <c r="A440" s="227" t="s">
        <v>256</v>
      </c>
      <c r="B440" s="106" t="s">
        <v>69</v>
      </c>
      <c r="C440" s="106">
        <v>19.38</v>
      </c>
      <c r="D440" s="106">
        <v>18.75</v>
      </c>
      <c r="E440" s="106">
        <v>-0.63</v>
      </c>
      <c r="F440" s="106">
        <v>0.63</v>
      </c>
    </row>
    <row r="441" spans="1:6" x14ac:dyDescent="0.3">
      <c r="A441" s="227"/>
      <c r="B441" s="106" t="s">
        <v>70</v>
      </c>
      <c r="C441" s="106">
        <v>19.559999999999999</v>
      </c>
      <c r="D441" s="106">
        <v>18.920000000000002</v>
      </c>
      <c r="E441" s="106">
        <v>-0.64</v>
      </c>
      <c r="F441" s="106">
        <v>0.64</v>
      </c>
    </row>
    <row r="442" spans="1:6" x14ac:dyDescent="0.3">
      <c r="A442" s="227"/>
      <c r="B442" s="106" t="s">
        <v>71</v>
      </c>
      <c r="C442" s="106">
        <v>19.78</v>
      </c>
      <c r="D442" s="106">
        <v>19.14</v>
      </c>
      <c r="E442" s="106">
        <v>-0.64</v>
      </c>
      <c r="F442" s="106">
        <v>0.64</v>
      </c>
    </row>
    <row r="443" spans="1:6" ht="15" customHeight="1" x14ac:dyDescent="0.3">
      <c r="A443" s="227" t="s">
        <v>257</v>
      </c>
      <c r="B443" s="106" t="s">
        <v>70</v>
      </c>
      <c r="C443" s="107">
        <v>18655.547999999999</v>
      </c>
      <c r="D443" s="107">
        <v>18581.024000000001</v>
      </c>
      <c r="E443" s="106">
        <v>-74.524000000000001</v>
      </c>
      <c r="F443" s="106">
        <v>207.32</v>
      </c>
    </row>
    <row r="444" spans="1:6" x14ac:dyDescent="0.3">
      <c r="A444" s="227"/>
      <c r="B444" s="106" t="s">
        <v>71</v>
      </c>
      <c r="C444" s="107">
        <v>18769.674999999999</v>
      </c>
      <c r="D444" s="107">
        <v>18692.539000000001</v>
      </c>
      <c r="E444" s="106">
        <v>-77.135999999999996</v>
      </c>
      <c r="F444" s="106">
        <v>214.59</v>
      </c>
    </row>
    <row r="445" spans="1:6" x14ac:dyDescent="0.3">
      <c r="A445" s="227"/>
      <c r="B445" s="106" t="s">
        <v>99</v>
      </c>
      <c r="C445" s="107">
        <v>18870.607</v>
      </c>
      <c r="D445" s="107">
        <v>18795.962</v>
      </c>
      <c r="E445" s="106">
        <v>-74.644999999999996</v>
      </c>
      <c r="F445" s="106">
        <v>207.66</v>
      </c>
    </row>
    <row r="446" spans="1:6" x14ac:dyDescent="0.3">
      <c r="A446" s="227"/>
      <c r="B446" s="106" t="s">
        <v>100</v>
      </c>
      <c r="C446" s="107">
        <v>18994.436000000002</v>
      </c>
      <c r="D446" s="107">
        <v>18919.361000000001</v>
      </c>
      <c r="E446" s="106">
        <v>-75.075000000000003</v>
      </c>
      <c r="F446" s="106">
        <v>208.85</v>
      </c>
    </row>
    <row r="447" spans="1:6" x14ac:dyDescent="0.3">
      <c r="A447" s="227"/>
      <c r="B447" s="106" t="s">
        <v>72</v>
      </c>
      <c r="C447" s="107">
        <v>19109.259999999998</v>
      </c>
      <c r="D447" s="107">
        <v>19030.802</v>
      </c>
      <c r="E447" s="106">
        <v>-78.457999999999998</v>
      </c>
      <c r="F447" s="106">
        <v>218.26</v>
      </c>
    </row>
    <row r="448" spans="1:6" ht="45" customHeight="1" x14ac:dyDescent="0.3">
      <c r="A448" s="227" t="s">
        <v>258</v>
      </c>
      <c r="B448" s="106" t="s">
        <v>69</v>
      </c>
      <c r="C448" s="106">
        <v>4.13</v>
      </c>
      <c r="D448" s="106">
        <v>4.0599999999999996</v>
      </c>
      <c r="E448" s="106">
        <v>-7.0000000000000007E-2</v>
      </c>
      <c r="F448" s="106">
        <v>7.0000000000000007E-2</v>
      </c>
    </row>
    <row r="449" spans="1:6" x14ac:dyDescent="0.3">
      <c r="A449" s="227"/>
      <c r="B449" s="106" t="s">
        <v>70</v>
      </c>
      <c r="C449" s="106">
        <v>4.1500000000000004</v>
      </c>
      <c r="D449" s="106">
        <v>4.08</v>
      </c>
      <c r="E449" s="106">
        <v>-7.0000000000000007E-2</v>
      </c>
      <c r="F449" s="106">
        <v>7.0000000000000007E-2</v>
      </c>
    </row>
    <row r="450" spans="1:6" x14ac:dyDescent="0.3">
      <c r="A450" s="227"/>
      <c r="B450" s="106" t="s">
        <v>71</v>
      </c>
      <c r="C450" s="106">
        <v>4.17</v>
      </c>
      <c r="D450" s="106">
        <v>4.0999999999999996</v>
      </c>
      <c r="E450" s="106">
        <v>-7.0000000000000007E-2</v>
      </c>
      <c r="F450" s="106">
        <v>7.0000000000000007E-2</v>
      </c>
    </row>
    <row r="451" spans="1:6" ht="75" customHeight="1" x14ac:dyDescent="0.3">
      <c r="A451" s="227" t="s">
        <v>259</v>
      </c>
      <c r="B451" s="106" t="s">
        <v>70</v>
      </c>
      <c r="C451" s="108">
        <v>2277</v>
      </c>
      <c r="D451" s="108">
        <v>2243</v>
      </c>
      <c r="E451" s="106">
        <v>-34</v>
      </c>
      <c r="F451" s="106">
        <v>153</v>
      </c>
    </row>
    <row r="452" spans="1:6" x14ac:dyDescent="0.3">
      <c r="A452" s="227"/>
      <c r="B452" s="106" t="s">
        <v>100</v>
      </c>
      <c r="C452" s="108">
        <v>2255</v>
      </c>
      <c r="D452" s="108">
        <v>2241</v>
      </c>
      <c r="E452" s="106">
        <v>-14</v>
      </c>
      <c r="F452" s="106">
        <v>63</v>
      </c>
    </row>
    <row r="453" spans="1:6" ht="15" customHeight="1" x14ac:dyDescent="0.3">
      <c r="A453" s="227" t="s">
        <v>260</v>
      </c>
      <c r="B453" s="106" t="s">
        <v>70</v>
      </c>
      <c r="C453" s="107">
        <v>2782.93</v>
      </c>
      <c r="D453" s="107">
        <v>2808.3530000000001</v>
      </c>
      <c r="E453" s="106">
        <v>25.422999999999998</v>
      </c>
      <c r="F453" s="107">
        <v>1906.72</v>
      </c>
    </row>
    <row r="454" spans="1:6" x14ac:dyDescent="0.3">
      <c r="A454" s="227"/>
      <c r="B454" s="106" t="s">
        <v>71</v>
      </c>
      <c r="C454" s="107">
        <v>2784.7759999999998</v>
      </c>
      <c r="D454" s="107">
        <v>2810.0940000000001</v>
      </c>
      <c r="E454" s="106">
        <v>25.318000000000001</v>
      </c>
      <c r="F454" s="107">
        <v>1898.85</v>
      </c>
    </row>
    <row r="455" spans="1:6" x14ac:dyDescent="0.3">
      <c r="A455" s="227"/>
      <c r="B455" s="106" t="s">
        <v>99</v>
      </c>
      <c r="C455" s="107">
        <v>2782.48</v>
      </c>
      <c r="D455" s="107">
        <v>2807.7249999999999</v>
      </c>
      <c r="E455" s="106">
        <v>25.245000000000001</v>
      </c>
      <c r="F455" s="107">
        <v>1893.37</v>
      </c>
    </row>
    <row r="456" spans="1:6" x14ac:dyDescent="0.3">
      <c r="A456" s="227"/>
      <c r="B456" s="106" t="s">
        <v>100</v>
      </c>
      <c r="C456" s="107">
        <v>2784.817</v>
      </c>
      <c r="D456" s="107">
        <v>2810.0459999999998</v>
      </c>
      <c r="E456" s="106">
        <v>25.228999999999999</v>
      </c>
      <c r="F456" s="107">
        <v>1892.17</v>
      </c>
    </row>
    <row r="457" spans="1:6" x14ac:dyDescent="0.3">
      <c r="A457" s="227"/>
      <c r="B457" s="106" t="s">
        <v>72</v>
      </c>
      <c r="C457" s="107">
        <v>2784.7620000000002</v>
      </c>
      <c r="D457" s="107">
        <v>2809.855</v>
      </c>
      <c r="E457" s="106">
        <v>25.093</v>
      </c>
      <c r="F457" s="107">
        <v>1881.97</v>
      </c>
    </row>
    <row r="458" spans="1:6" ht="15" customHeight="1" x14ac:dyDescent="0.3">
      <c r="A458" s="227" t="s">
        <v>261</v>
      </c>
      <c r="B458" s="106" t="s">
        <v>70</v>
      </c>
      <c r="C458" s="107">
        <v>10098.348</v>
      </c>
      <c r="D458" s="107">
        <v>10134.564</v>
      </c>
      <c r="E458" s="106">
        <v>36.216000000000001</v>
      </c>
      <c r="F458" s="106">
        <v>185.49</v>
      </c>
    </row>
    <row r="459" spans="1:6" x14ac:dyDescent="0.3">
      <c r="A459" s="227"/>
      <c r="B459" s="106" t="s">
        <v>71</v>
      </c>
      <c r="C459" s="107">
        <v>10082.625</v>
      </c>
      <c r="D459" s="107">
        <v>10118.869000000001</v>
      </c>
      <c r="E459" s="106">
        <v>36.244</v>
      </c>
      <c r="F459" s="106">
        <v>185.64</v>
      </c>
    </row>
    <row r="460" spans="1:6" x14ac:dyDescent="0.3">
      <c r="A460" s="227"/>
      <c r="B460" s="106" t="s">
        <v>99</v>
      </c>
      <c r="C460" s="107">
        <v>10069.25</v>
      </c>
      <c r="D460" s="107">
        <v>10104.596</v>
      </c>
      <c r="E460" s="106">
        <v>35.345999999999997</v>
      </c>
      <c r="F460" s="106">
        <v>181.04</v>
      </c>
    </row>
    <row r="461" spans="1:6" x14ac:dyDescent="0.3">
      <c r="A461" s="227"/>
      <c r="B461" s="106" t="s">
        <v>100</v>
      </c>
      <c r="C461" s="107">
        <v>10052.534</v>
      </c>
      <c r="D461" s="107">
        <v>10087.394</v>
      </c>
      <c r="E461" s="106">
        <v>34.86</v>
      </c>
      <c r="F461" s="106">
        <v>178.55</v>
      </c>
    </row>
    <row r="462" spans="1:6" x14ac:dyDescent="0.3">
      <c r="A462" s="227"/>
      <c r="B462" s="106" t="s">
        <v>72</v>
      </c>
      <c r="C462" s="107">
        <v>10036.087</v>
      </c>
      <c r="D462" s="107">
        <v>10071.85</v>
      </c>
      <c r="E462" s="106">
        <v>35.762999999999998</v>
      </c>
      <c r="F462" s="106">
        <v>183.17</v>
      </c>
    </row>
    <row r="463" spans="1:6" ht="45" customHeight="1" x14ac:dyDescent="0.3">
      <c r="A463" s="227" t="s">
        <v>262</v>
      </c>
      <c r="B463" s="106" t="s">
        <v>69</v>
      </c>
      <c r="C463" s="106">
        <v>14.55</v>
      </c>
      <c r="D463" s="106">
        <v>14.34</v>
      </c>
      <c r="E463" s="106">
        <v>-0.21</v>
      </c>
      <c r="F463" s="106">
        <v>0.21</v>
      </c>
    </row>
    <row r="464" spans="1:6" x14ac:dyDescent="0.3">
      <c r="A464" s="227"/>
      <c r="B464" s="106" t="s">
        <v>70</v>
      </c>
      <c r="C464" s="106">
        <v>14.68</v>
      </c>
      <c r="D464" s="106">
        <v>14.47</v>
      </c>
      <c r="E464" s="106">
        <v>-0.21</v>
      </c>
      <c r="F464" s="106">
        <v>0.21</v>
      </c>
    </row>
    <row r="465" spans="1:6" x14ac:dyDescent="0.3">
      <c r="A465" s="227"/>
      <c r="B465" s="106" t="s">
        <v>71</v>
      </c>
      <c r="C465" s="106">
        <v>14.85</v>
      </c>
      <c r="D465" s="106">
        <v>14.64</v>
      </c>
      <c r="E465" s="106">
        <v>-0.21</v>
      </c>
      <c r="F465" s="106">
        <v>0.21</v>
      </c>
    </row>
    <row r="466" spans="1:6" ht="30" customHeight="1" x14ac:dyDescent="0.3">
      <c r="A466" s="227" t="s">
        <v>263</v>
      </c>
      <c r="B466" s="106" t="s">
        <v>70</v>
      </c>
      <c r="C466" s="107">
        <v>3303.0479999999998</v>
      </c>
      <c r="D466" s="107">
        <v>3304.864</v>
      </c>
      <c r="E466" s="106">
        <v>1.8160000000000001</v>
      </c>
      <c r="F466" s="106">
        <v>136.19999999999999</v>
      </c>
    </row>
    <row r="467" spans="1:6" x14ac:dyDescent="0.3">
      <c r="A467" s="227"/>
      <c r="B467" s="106" t="s">
        <v>71</v>
      </c>
      <c r="C467" s="107">
        <v>3325.5749999999998</v>
      </c>
      <c r="D467" s="107">
        <v>3327.2730000000001</v>
      </c>
      <c r="E467" s="106">
        <v>1.698</v>
      </c>
      <c r="F467" s="106">
        <v>127.35</v>
      </c>
    </row>
    <row r="468" spans="1:6" x14ac:dyDescent="0.3">
      <c r="A468" s="227"/>
      <c r="B468" s="106" t="s">
        <v>99</v>
      </c>
      <c r="C468" s="107">
        <v>3340.489</v>
      </c>
      <c r="D468" s="107">
        <v>3342.2020000000002</v>
      </c>
      <c r="E468" s="106">
        <v>1.7130000000000001</v>
      </c>
      <c r="F468" s="106">
        <v>128.47</v>
      </c>
    </row>
    <row r="469" spans="1:6" x14ac:dyDescent="0.3">
      <c r="A469" s="227"/>
      <c r="B469" s="106" t="s">
        <v>100</v>
      </c>
      <c r="C469" s="107">
        <v>3360.913</v>
      </c>
      <c r="D469" s="107">
        <v>3363.15</v>
      </c>
      <c r="E469" s="106">
        <v>2.2370000000000001</v>
      </c>
      <c r="F469" s="106">
        <v>167.77</v>
      </c>
    </row>
    <row r="470" spans="1:6" x14ac:dyDescent="0.3">
      <c r="A470" s="227"/>
      <c r="B470" s="106" t="s">
        <v>72</v>
      </c>
      <c r="C470" s="107">
        <v>3379.9960000000001</v>
      </c>
      <c r="D470" s="107">
        <v>3381.453</v>
      </c>
      <c r="E470" s="106">
        <v>1.4570000000000001</v>
      </c>
      <c r="F470" s="106">
        <v>109.27</v>
      </c>
    </row>
    <row r="471" spans="1:6" ht="15" customHeight="1" x14ac:dyDescent="0.3">
      <c r="A471" s="227" t="s">
        <v>264</v>
      </c>
      <c r="B471" s="106" t="s">
        <v>70</v>
      </c>
      <c r="C471" s="106">
        <v>636.5</v>
      </c>
      <c r="D471" s="106">
        <v>633.5</v>
      </c>
      <c r="E471" s="106">
        <v>-3</v>
      </c>
      <c r="F471" s="106">
        <v>156.04</v>
      </c>
    </row>
    <row r="472" spans="1:6" x14ac:dyDescent="0.3">
      <c r="A472" s="227"/>
      <c r="B472" s="106" t="s">
        <v>71</v>
      </c>
      <c r="C472" s="106">
        <v>636.6</v>
      </c>
      <c r="D472" s="106">
        <v>633.6</v>
      </c>
      <c r="E472" s="106">
        <v>-3</v>
      </c>
      <c r="F472" s="106">
        <v>156.04</v>
      </c>
    </row>
    <row r="473" spans="1:6" x14ac:dyDescent="0.3">
      <c r="A473" s="227"/>
      <c r="B473" s="106" t="s">
        <v>99</v>
      </c>
      <c r="C473" s="106">
        <v>636.6</v>
      </c>
      <c r="D473" s="106">
        <v>633.6</v>
      </c>
      <c r="E473" s="106">
        <v>-3</v>
      </c>
      <c r="F473" s="106">
        <v>156.04</v>
      </c>
    </row>
    <row r="474" spans="1:6" x14ac:dyDescent="0.3">
      <c r="A474" s="227"/>
      <c r="B474" s="106" t="s">
        <v>100</v>
      </c>
      <c r="C474" s="106">
        <v>636.5</v>
      </c>
      <c r="D474" s="106">
        <v>633.6</v>
      </c>
      <c r="E474" s="106">
        <v>-2.9</v>
      </c>
      <c r="F474" s="106">
        <v>150.84</v>
      </c>
    </row>
    <row r="475" spans="1:6" x14ac:dyDescent="0.3">
      <c r="A475" s="227"/>
      <c r="B475" s="106" t="s">
        <v>72</v>
      </c>
      <c r="C475" s="106">
        <v>636.5</v>
      </c>
      <c r="D475" s="106">
        <v>633.5</v>
      </c>
      <c r="E475" s="106">
        <v>-3</v>
      </c>
      <c r="F475" s="106">
        <v>156.04</v>
      </c>
    </row>
    <row r="476" spans="1:6" x14ac:dyDescent="0.3">
      <c r="A476" s="227" t="s">
        <v>265</v>
      </c>
      <c r="B476" s="106" t="s">
        <v>70</v>
      </c>
      <c r="C476" s="107">
        <v>99543.99</v>
      </c>
      <c r="D476" s="107">
        <v>99543.94</v>
      </c>
      <c r="E476" s="106">
        <v>-0.05</v>
      </c>
      <c r="F476" s="106">
        <v>0.05</v>
      </c>
    </row>
    <row r="477" spans="1:6" x14ac:dyDescent="0.3">
      <c r="A477" s="227"/>
      <c r="B477" s="106" t="s">
        <v>71</v>
      </c>
      <c r="C477" s="107">
        <v>98387.98</v>
      </c>
      <c r="D477" s="107">
        <v>98387.66</v>
      </c>
      <c r="E477" s="106">
        <v>-0.32</v>
      </c>
      <c r="F477" s="106">
        <v>0.32</v>
      </c>
    </row>
    <row r="478" spans="1:6" x14ac:dyDescent="0.3">
      <c r="A478" s="227"/>
      <c r="B478" s="106" t="s">
        <v>99</v>
      </c>
      <c r="C478" s="107">
        <v>97489.2</v>
      </c>
      <c r="D478" s="107">
        <v>97490.48</v>
      </c>
      <c r="E478" s="106">
        <v>1.28</v>
      </c>
      <c r="F478" s="106">
        <v>1.28</v>
      </c>
    </row>
    <row r="479" spans="1:6" x14ac:dyDescent="0.3">
      <c r="A479" s="227"/>
      <c r="B479" s="106" t="s">
        <v>100</v>
      </c>
      <c r="C479" s="107">
        <v>96399.88</v>
      </c>
      <c r="D479" s="107">
        <v>96402.21</v>
      </c>
      <c r="E479" s="106">
        <v>2.33</v>
      </c>
      <c r="F479" s="106">
        <v>2.33</v>
      </c>
    </row>
    <row r="480" spans="1:6" x14ac:dyDescent="0.3">
      <c r="A480" s="227"/>
      <c r="B480" s="106" t="s">
        <v>72</v>
      </c>
      <c r="C480" s="107">
        <v>95375.14</v>
      </c>
      <c r="D480" s="107">
        <v>95383.02</v>
      </c>
      <c r="E480" s="106">
        <v>7.88</v>
      </c>
      <c r="F480" s="106">
        <v>7.88</v>
      </c>
    </row>
    <row r="481" spans="1:6" x14ac:dyDescent="0.3">
      <c r="A481" s="227"/>
      <c r="B481" s="106" t="s">
        <v>101</v>
      </c>
      <c r="C481" s="107">
        <v>94366.49</v>
      </c>
      <c r="D481" s="107">
        <v>94379.73</v>
      </c>
      <c r="E481" s="106">
        <v>13.24</v>
      </c>
      <c r="F481" s="106">
        <v>13.24</v>
      </c>
    </row>
    <row r="482" spans="1:6" x14ac:dyDescent="0.3">
      <c r="A482" s="227"/>
      <c r="B482" s="106" t="s">
        <v>102</v>
      </c>
      <c r="C482" s="107">
        <v>93283.83</v>
      </c>
      <c r="D482" s="107">
        <v>93303.89</v>
      </c>
      <c r="E482" s="106">
        <v>20.059999999999999</v>
      </c>
      <c r="F482" s="106">
        <v>20.059999999999999</v>
      </c>
    </row>
    <row r="483" spans="1:6" x14ac:dyDescent="0.3">
      <c r="A483" s="227"/>
      <c r="B483" s="106" t="s">
        <v>73</v>
      </c>
      <c r="C483" s="107">
        <v>92355.59</v>
      </c>
      <c r="D483" s="107">
        <v>92383.35</v>
      </c>
      <c r="E483" s="106">
        <v>27.76</v>
      </c>
      <c r="F483" s="106">
        <v>27.76</v>
      </c>
    </row>
    <row r="484" spans="1:6" x14ac:dyDescent="0.3">
      <c r="A484" s="227"/>
      <c r="B484" s="106" t="s">
        <v>103</v>
      </c>
      <c r="C484" s="107">
        <v>91385.83</v>
      </c>
      <c r="D484" s="107">
        <v>91419.22</v>
      </c>
      <c r="E484" s="106">
        <v>33.39</v>
      </c>
      <c r="F484" s="106">
        <v>33.39</v>
      </c>
    </row>
    <row r="485" spans="1:6" x14ac:dyDescent="0.3">
      <c r="A485" s="227"/>
      <c r="B485" s="106" t="s">
        <v>104</v>
      </c>
      <c r="C485" s="107">
        <v>90485.66</v>
      </c>
      <c r="D485" s="107">
        <v>90524.87</v>
      </c>
      <c r="E485" s="106">
        <v>39.21</v>
      </c>
      <c r="F485" s="106">
        <v>39.21</v>
      </c>
    </row>
    <row r="486" spans="1:6" x14ac:dyDescent="0.3">
      <c r="A486" s="227"/>
      <c r="B486" s="106" t="s">
        <v>74</v>
      </c>
      <c r="C486" s="107">
        <v>89611.4</v>
      </c>
      <c r="D486" s="107">
        <v>89658.83</v>
      </c>
      <c r="E486" s="106">
        <v>47.43</v>
      </c>
      <c r="F486" s="106">
        <v>47.43</v>
      </c>
    </row>
    <row r="487" spans="1:6" x14ac:dyDescent="0.3">
      <c r="A487" s="227"/>
      <c r="B487" s="106" t="s">
        <v>225</v>
      </c>
      <c r="C487" s="107">
        <v>88642.07</v>
      </c>
      <c r="D487" s="107">
        <v>88704.12</v>
      </c>
      <c r="E487" s="106">
        <v>62.05</v>
      </c>
      <c r="F487" s="106">
        <v>62.05</v>
      </c>
    </row>
    <row r="488" spans="1:6" x14ac:dyDescent="0.3">
      <c r="A488" s="227"/>
      <c r="B488" s="106" t="s">
        <v>75</v>
      </c>
      <c r="C488" s="107">
        <v>86996.34</v>
      </c>
      <c r="D488" s="107">
        <v>87084.88</v>
      </c>
      <c r="E488" s="106">
        <v>88.54</v>
      </c>
      <c r="F488" s="106">
        <v>88.54</v>
      </c>
    </row>
    <row r="489" spans="1:6" x14ac:dyDescent="0.3">
      <c r="A489" s="227"/>
      <c r="B489" s="106" t="s">
        <v>76</v>
      </c>
      <c r="C489" s="107">
        <v>84448.16</v>
      </c>
      <c r="D489" s="107">
        <v>84580.77</v>
      </c>
      <c r="E489" s="106">
        <v>132.61000000000001</v>
      </c>
      <c r="F489" s="106">
        <v>132.61000000000001</v>
      </c>
    </row>
    <row r="490" spans="1:6" x14ac:dyDescent="0.3">
      <c r="A490" s="227"/>
      <c r="B490" s="106" t="s">
        <v>77</v>
      </c>
      <c r="C490" s="107">
        <v>81926.59</v>
      </c>
      <c r="D490" s="107">
        <v>82069.490000000005</v>
      </c>
      <c r="E490" s="106">
        <v>142.9</v>
      </c>
      <c r="F490" s="106">
        <v>142.9</v>
      </c>
    </row>
    <row r="491" spans="1:6" x14ac:dyDescent="0.3">
      <c r="A491" s="227"/>
      <c r="B491" s="106" t="s">
        <v>78</v>
      </c>
      <c r="C491" s="107">
        <v>79570.45</v>
      </c>
      <c r="D491" s="107">
        <v>79715.210000000006</v>
      </c>
      <c r="E491" s="106">
        <v>144.76</v>
      </c>
      <c r="F491" s="106">
        <v>144.76</v>
      </c>
    </row>
    <row r="492" spans="1:6" x14ac:dyDescent="0.3">
      <c r="A492" s="227"/>
      <c r="B492" s="106" t="s">
        <v>79</v>
      </c>
      <c r="C492" s="107">
        <v>77267.570000000007</v>
      </c>
      <c r="D492" s="107">
        <v>77423.649999999994</v>
      </c>
      <c r="E492" s="106">
        <v>156.08000000000001</v>
      </c>
      <c r="F492" s="106">
        <v>156.08000000000001</v>
      </c>
    </row>
    <row r="493" spans="1:6" x14ac:dyDescent="0.3">
      <c r="A493" s="227"/>
      <c r="B493" s="106" t="s">
        <v>80</v>
      </c>
      <c r="C493" s="107">
        <v>75029.52</v>
      </c>
      <c r="D493" s="107">
        <v>75157.83</v>
      </c>
      <c r="E493" s="106">
        <v>128.31</v>
      </c>
      <c r="F493" s="106">
        <v>128.31</v>
      </c>
    </row>
    <row r="494" spans="1:6" x14ac:dyDescent="0.3">
      <c r="A494" s="227"/>
      <c r="B494" s="106" t="s">
        <v>81</v>
      </c>
      <c r="C494" s="107">
        <v>72614.8</v>
      </c>
      <c r="D494" s="107">
        <v>72715.91</v>
      </c>
      <c r="E494" s="106">
        <v>101.11</v>
      </c>
      <c r="F494" s="106">
        <v>101.11</v>
      </c>
    </row>
    <row r="495" spans="1:6" x14ac:dyDescent="0.3">
      <c r="A495" s="227"/>
      <c r="B495" s="106" t="s">
        <v>82</v>
      </c>
      <c r="C495" s="107">
        <v>70313.440000000002</v>
      </c>
      <c r="D495" s="107">
        <v>70387.12</v>
      </c>
      <c r="E495" s="106">
        <v>73.680000000000007</v>
      </c>
      <c r="F495" s="106">
        <v>73.680000000000007</v>
      </c>
    </row>
    <row r="496" spans="1:6" x14ac:dyDescent="0.3">
      <c r="A496" s="227"/>
      <c r="B496" s="106" t="s">
        <v>83</v>
      </c>
      <c r="C496" s="107">
        <v>68213.08</v>
      </c>
      <c r="D496" s="107">
        <v>68253.070000000007</v>
      </c>
      <c r="E496" s="106">
        <v>39.99</v>
      </c>
      <c r="F496" s="106">
        <v>39.99</v>
      </c>
    </row>
    <row r="497" spans="1:6" x14ac:dyDescent="0.3">
      <c r="A497" s="227"/>
      <c r="B497" s="106" t="s">
        <v>84</v>
      </c>
      <c r="C497" s="107">
        <v>66138.86</v>
      </c>
      <c r="D497" s="107">
        <v>66155.259999999995</v>
      </c>
      <c r="E497" s="106">
        <v>16.399999999999999</v>
      </c>
      <c r="F497" s="106">
        <v>16.399999999999999</v>
      </c>
    </row>
    <row r="498" spans="1:6" x14ac:dyDescent="0.3">
      <c r="A498" s="227"/>
      <c r="B498" s="106" t="s">
        <v>85</v>
      </c>
      <c r="C498" s="107">
        <v>64038.5</v>
      </c>
      <c r="D498" s="107">
        <v>64020.9</v>
      </c>
      <c r="E498" s="106">
        <v>-17.600000000000001</v>
      </c>
      <c r="F498" s="106">
        <v>17.600000000000001</v>
      </c>
    </row>
    <row r="499" spans="1:6" x14ac:dyDescent="0.3">
      <c r="A499" s="227"/>
      <c r="B499" s="106" t="s">
        <v>86</v>
      </c>
      <c r="C499" s="107">
        <v>62071.360000000001</v>
      </c>
      <c r="D499" s="107">
        <v>62034.13</v>
      </c>
      <c r="E499" s="106">
        <v>-37.229999999999997</v>
      </c>
      <c r="F499" s="106">
        <v>37.229999999999997</v>
      </c>
    </row>
    <row r="500" spans="1:6" x14ac:dyDescent="0.3">
      <c r="A500" s="227"/>
      <c r="B500" s="106" t="s">
        <v>87</v>
      </c>
      <c r="C500" s="107">
        <v>60217.05</v>
      </c>
      <c r="D500" s="107">
        <v>60154.83</v>
      </c>
      <c r="E500" s="106">
        <v>-62.22</v>
      </c>
      <c r="F500" s="106">
        <v>62.22</v>
      </c>
    </row>
    <row r="501" spans="1:6" x14ac:dyDescent="0.3">
      <c r="A501" s="227"/>
      <c r="B501" s="106" t="s">
        <v>105</v>
      </c>
      <c r="C501" s="107">
        <v>58316.55</v>
      </c>
      <c r="D501" s="107">
        <v>58230.35</v>
      </c>
      <c r="E501" s="106">
        <v>-86.2</v>
      </c>
      <c r="F501" s="106">
        <v>86.2</v>
      </c>
    </row>
    <row r="502" spans="1:6" x14ac:dyDescent="0.3">
      <c r="A502" s="227"/>
      <c r="B502" s="106" t="s">
        <v>106</v>
      </c>
      <c r="C502" s="107">
        <v>56419.65</v>
      </c>
      <c r="D502" s="107">
        <v>56313.09</v>
      </c>
      <c r="E502" s="106">
        <v>-106.56</v>
      </c>
      <c r="F502" s="106">
        <v>106.56</v>
      </c>
    </row>
    <row r="503" spans="1:6" x14ac:dyDescent="0.3">
      <c r="A503" s="227"/>
      <c r="B503" s="106" t="s">
        <v>88</v>
      </c>
      <c r="C503" s="107">
        <v>54626.66</v>
      </c>
      <c r="D503" s="107">
        <v>54511.01</v>
      </c>
      <c r="E503" s="106">
        <v>-115.65</v>
      </c>
      <c r="F503" s="106">
        <v>115.65</v>
      </c>
    </row>
    <row r="504" spans="1:6" x14ac:dyDescent="0.3">
      <c r="A504" s="227"/>
      <c r="B504" s="106" t="s">
        <v>89</v>
      </c>
      <c r="C504" s="107">
        <v>47938.07</v>
      </c>
      <c r="D504" s="107">
        <v>47789.42</v>
      </c>
      <c r="E504" s="106">
        <v>-148.65</v>
      </c>
      <c r="F504" s="106">
        <v>148.65</v>
      </c>
    </row>
    <row r="505" spans="1:6" x14ac:dyDescent="0.3">
      <c r="A505" s="227"/>
      <c r="B505" s="106" t="s">
        <v>90</v>
      </c>
      <c r="C505" s="107">
        <v>42185.95</v>
      </c>
      <c r="D505" s="107">
        <v>41967.360000000001</v>
      </c>
      <c r="E505" s="106">
        <v>-218.59</v>
      </c>
      <c r="F505" s="106">
        <v>218.59</v>
      </c>
    </row>
    <row r="506" spans="1:6" x14ac:dyDescent="0.3">
      <c r="A506" s="227"/>
      <c r="B506" s="106" t="s">
        <v>91</v>
      </c>
      <c r="C506" s="107">
        <v>37033.85</v>
      </c>
      <c r="D506" s="107">
        <v>36811.57</v>
      </c>
      <c r="E506" s="106">
        <v>-222.28</v>
      </c>
      <c r="F506" s="106">
        <v>222.28</v>
      </c>
    </row>
    <row r="507" spans="1:6" x14ac:dyDescent="0.3">
      <c r="A507" s="227"/>
      <c r="B507" s="106" t="s">
        <v>92</v>
      </c>
      <c r="C507" s="107">
        <v>32576.98</v>
      </c>
      <c r="D507" s="107">
        <v>32381.83</v>
      </c>
      <c r="E507" s="106">
        <v>-195.15</v>
      </c>
      <c r="F507" s="106">
        <v>195.15</v>
      </c>
    </row>
    <row r="508" spans="1:6" x14ac:dyDescent="0.3">
      <c r="A508" s="227"/>
      <c r="B508" s="106" t="s">
        <v>93</v>
      </c>
      <c r="C508" s="107">
        <v>28643.41</v>
      </c>
      <c r="D508" s="107">
        <v>28386.04</v>
      </c>
      <c r="E508" s="106">
        <v>-257.37</v>
      </c>
      <c r="F508" s="106">
        <v>257.37</v>
      </c>
    </row>
    <row r="509" spans="1:6" x14ac:dyDescent="0.3">
      <c r="A509" s="227"/>
      <c r="B509" s="106" t="s">
        <v>94</v>
      </c>
      <c r="C509" s="107">
        <v>25295.9</v>
      </c>
      <c r="D509" s="107">
        <v>25045.68</v>
      </c>
      <c r="E509" s="106">
        <v>-250.22</v>
      </c>
      <c r="F509" s="106">
        <v>250.22</v>
      </c>
    </row>
    <row r="510" spans="1:6" x14ac:dyDescent="0.3">
      <c r="A510" s="227"/>
      <c r="B510" s="106" t="s">
        <v>95</v>
      </c>
      <c r="C510" s="107">
        <v>22305.43</v>
      </c>
      <c r="D510" s="107">
        <v>22064.84</v>
      </c>
      <c r="E510" s="106">
        <v>-240.59</v>
      </c>
      <c r="F510" s="106">
        <v>240.59</v>
      </c>
    </row>
    <row r="511" spans="1:6" x14ac:dyDescent="0.3">
      <c r="A511" s="227"/>
      <c r="B511" s="106" t="s">
        <v>96</v>
      </c>
      <c r="C511" s="107">
        <v>19585.580000000002</v>
      </c>
      <c r="D511" s="107">
        <v>19356.830000000002</v>
      </c>
      <c r="E511" s="106">
        <v>-228.75</v>
      </c>
      <c r="F511" s="106">
        <v>228.75</v>
      </c>
    </row>
    <row r="512" spans="1:6" x14ac:dyDescent="0.3">
      <c r="A512" s="227"/>
      <c r="B512" s="106" t="s">
        <v>97</v>
      </c>
      <c r="C512" s="107">
        <v>17209.89</v>
      </c>
      <c r="D512" s="107">
        <v>16993.22</v>
      </c>
      <c r="E512" s="106">
        <v>-216.67</v>
      </c>
      <c r="F512" s="106">
        <v>216.67</v>
      </c>
    </row>
    <row r="513" spans="1:6" x14ac:dyDescent="0.3">
      <c r="A513" s="227"/>
      <c r="B513" s="106" t="s">
        <v>226</v>
      </c>
      <c r="C513" s="107">
        <v>15170.06</v>
      </c>
      <c r="D513" s="107">
        <v>14965.48</v>
      </c>
      <c r="E513" s="106">
        <v>-204.58</v>
      </c>
      <c r="F513" s="106">
        <v>204.58</v>
      </c>
    </row>
    <row r="514" spans="1:6" ht="30" customHeight="1" x14ac:dyDescent="0.3">
      <c r="A514" s="227" t="s">
        <v>266</v>
      </c>
      <c r="B514" s="106" t="s">
        <v>70</v>
      </c>
      <c r="C514" s="106">
        <v>305.39299999999997</v>
      </c>
      <c r="D514" s="106">
        <v>306.041</v>
      </c>
      <c r="E514" s="106">
        <v>0.64800000000000002</v>
      </c>
      <c r="F514" s="106">
        <v>162</v>
      </c>
    </row>
    <row r="515" spans="1:6" x14ac:dyDescent="0.3">
      <c r="A515" s="227"/>
      <c r="B515" s="106" t="s">
        <v>71</v>
      </c>
      <c r="C515" s="106">
        <v>308.98099999999999</v>
      </c>
      <c r="D515" s="106">
        <v>309.63799999999998</v>
      </c>
      <c r="E515" s="106">
        <v>0.65700000000000003</v>
      </c>
      <c r="F515" s="106">
        <v>164.25</v>
      </c>
    </row>
    <row r="516" spans="1:6" ht="30" customHeight="1" x14ac:dyDescent="0.3">
      <c r="A516" s="227" t="s">
        <v>267</v>
      </c>
      <c r="B516" s="106" t="s">
        <v>69</v>
      </c>
      <c r="C516" s="106">
        <v>18.239999999999998</v>
      </c>
      <c r="D516" s="106">
        <v>18.329999999999998</v>
      </c>
      <c r="E516" s="106">
        <v>0.09</v>
      </c>
      <c r="F516" s="106">
        <v>0.09</v>
      </c>
    </row>
    <row r="517" spans="1:6" x14ac:dyDescent="0.3">
      <c r="A517" s="227"/>
      <c r="B517" s="106" t="s">
        <v>70</v>
      </c>
      <c r="C517" s="106">
        <v>18.399999999999999</v>
      </c>
      <c r="D517" s="106">
        <v>18.489999999999998</v>
      </c>
      <c r="E517" s="106">
        <v>0.09</v>
      </c>
      <c r="F517" s="106">
        <v>0.09</v>
      </c>
    </row>
    <row r="518" spans="1:6" x14ac:dyDescent="0.3">
      <c r="A518" s="227"/>
      <c r="B518" s="106" t="s">
        <v>71</v>
      </c>
      <c r="C518" s="106">
        <v>18.600000000000001</v>
      </c>
      <c r="D518" s="106">
        <v>18.7</v>
      </c>
      <c r="E518" s="106">
        <v>0.1</v>
      </c>
      <c r="F518" s="106">
        <v>0.1</v>
      </c>
    </row>
    <row r="519" spans="1:6" ht="30" customHeight="1" x14ac:dyDescent="0.3">
      <c r="A519" s="227" t="s">
        <v>268</v>
      </c>
      <c r="B519" s="106" t="s">
        <v>69</v>
      </c>
      <c r="C519" s="106">
        <v>26.85</v>
      </c>
      <c r="D519" s="106">
        <v>26.74</v>
      </c>
      <c r="E519" s="106">
        <v>-0.11</v>
      </c>
      <c r="F519" s="106">
        <v>0.11</v>
      </c>
    </row>
    <row r="520" spans="1:6" x14ac:dyDescent="0.3">
      <c r="A520" s="227"/>
      <c r="B520" s="106" t="s">
        <v>70</v>
      </c>
      <c r="C520" s="106">
        <v>27.1</v>
      </c>
      <c r="D520" s="106">
        <v>26.99</v>
      </c>
      <c r="E520" s="106">
        <v>-0.11</v>
      </c>
      <c r="F520" s="106">
        <v>0.11</v>
      </c>
    </row>
    <row r="521" spans="1:6" x14ac:dyDescent="0.3">
      <c r="A521" s="227"/>
      <c r="B521" s="106" t="s">
        <v>71</v>
      </c>
      <c r="C521" s="106">
        <v>27.42</v>
      </c>
      <c r="D521" s="106">
        <v>27.3</v>
      </c>
      <c r="E521" s="106">
        <v>-0.12</v>
      </c>
      <c r="F521" s="106">
        <v>0.12</v>
      </c>
    </row>
    <row r="522" spans="1:6" ht="30" customHeight="1" x14ac:dyDescent="0.3">
      <c r="A522" s="227" t="s">
        <v>269</v>
      </c>
      <c r="B522" s="106" t="s">
        <v>69</v>
      </c>
      <c r="C522" s="106">
        <v>26.95</v>
      </c>
      <c r="D522" s="106">
        <v>26.94</v>
      </c>
      <c r="E522" s="106">
        <v>-0.01</v>
      </c>
      <c r="F522" s="106">
        <v>0.01</v>
      </c>
    </row>
    <row r="523" spans="1:6" x14ac:dyDescent="0.3">
      <c r="A523" s="227"/>
      <c r="B523" s="106" t="s">
        <v>70</v>
      </c>
      <c r="C523" s="106">
        <v>27.2</v>
      </c>
      <c r="D523" s="106">
        <v>27.18</v>
      </c>
      <c r="E523" s="106">
        <v>-0.02</v>
      </c>
      <c r="F523" s="106">
        <v>0.02</v>
      </c>
    </row>
    <row r="524" spans="1:6" x14ac:dyDescent="0.3">
      <c r="A524" s="227"/>
      <c r="B524" s="106" t="s">
        <v>71</v>
      </c>
      <c r="C524" s="106">
        <v>27.51</v>
      </c>
      <c r="D524" s="106">
        <v>27.5</v>
      </c>
      <c r="E524" s="106">
        <v>-0.01</v>
      </c>
      <c r="F524" s="106">
        <v>0.01</v>
      </c>
    </row>
    <row r="525" spans="1:6" ht="30" customHeight="1" x14ac:dyDescent="0.3">
      <c r="A525" s="227" t="s">
        <v>270</v>
      </c>
      <c r="B525" s="106" t="s">
        <v>69</v>
      </c>
      <c r="C525" s="106">
        <v>56.71</v>
      </c>
      <c r="D525" s="106">
        <v>55.54</v>
      </c>
      <c r="E525" s="106">
        <v>-1.17</v>
      </c>
      <c r="F525" s="106">
        <v>1.17</v>
      </c>
    </row>
    <row r="526" spans="1:6" x14ac:dyDescent="0.3">
      <c r="A526" s="227"/>
      <c r="B526" s="106" t="s">
        <v>70</v>
      </c>
      <c r="C526" s="106">
        <v>57.23</v>
      </c>
      <c r="D526" s="106">
        <v>56.05</v>
      </c>
      <c r="E526" s="106">
        <v>-1.18</v>
      </c>
      <c r="F526" s="106">
        <v>1.18</v>
      </c>
    </row>
    <row r="527" spans="1:6" x14ac:dyDescent="0.3">
      <c r="A527" s="227"/>
      <c r="B527" s="106" t="s">
        <v>71</v>
      </c>
      <c r="C527" s="106">
        <v>57.9</v>
      </c>
      <c r="D527" s="106">
        <v>56.7</v>
      </c>
      <c r="E527" s="106">
        <v>-1.2</v>
      </c>
      <c r="F527" s="106">
        <v>1.2</v>
      </c>
    </row>
    <row r="528" spans="1:6" x14ac:dyDescent="0.3">
      <c r="A528" s="227" t="s">
        <v>271</v>
      </c>
      <c r="B528" s="106" t="s">
        <v>70</v>
      </c>
      <c r="C528" s="107">
        <v>75130.428</v>
      </c>
      <c r="D528" s="107">
        <v>74258.320999999996</v>
      </c>
      <c r="E528" s="106">
        <v>-872.10699999999997</v>
      </c>
      <c r="F528" s="106">
        <v>608.45000000000005</v>
      </c>
    </row>
    <row r="529" spans="1:6" x14ac:dyDescent="0.3">
      <c r="A529" s="227"/>
      <c r="B529" s="106" t="s">
        <v>71</v>
      </c>
      <c r="C529" s="107">
        <v>76390.616999999998</v>
      </c>
      <c r="D529" s="107">
        <v>75383.763999999996</v>
      </c>
      <c r="E529" s="107">
        <v>-1006.853</v>
      </c>
      <c r="F529" s="106">
        <v>702.46</v>
      </c>
    </row>
    <row r="530" spans="1:6" x14ac:dyDescent="0.3">
      <c r="A530" s="227"/>
      <c r="B530" s="106" t="s">
        <v>99</v>
      </c>
      <c r="C530" s="107">
        <v>77428.33</v>
      </c>
      <c r="D530" s="107">
        <v>76289.270999999993</v>
      </c>
      <c r="E530" s="107">
        <v>-1139.059</v>
      </c>
      <c r="F530" s="106">
        <v>794.69</v>
      </c>
    </row>
    <row r="531" spans="1:6" x14ac:dyDescent="0.3">
      <c r="A531" s="227"/>
      <c r="B531" s="106" t="s">
        <v>100</v>
      </c>
      <c r="C531" s="107">
        <v>78513.986000000004</v>
      </c>
      <c r="D531" s="107">
        <v>77209.812999999995</v>
      </c>
      <c r="E531" s="107">
        <v>-1304.173</v>
      </c>
      <c r="F531" s="106">
        <v>909.89</v>
      </c>
    </row>
    <row r="532" spans="1:6" x14ac:dyDescent="0.3">
      <c r="A532" s="227"/>
      <c r="B532" s="106" t="s">
        <v>72</v>
      </c>
      <c r="C532" s="107">
        <v>79387.11</v>
      </c>
      <c r="D532" s="107">
        <v>78031.649999999994</v>
      </c>
      <c r="E532" s="107">
        <v>-1355.46</v>
      </c>
      <c r="F532" s="106">
        <v>945.67</v>
      </c>
    </row>
    <row r="533" spans="1:6" x14ac:dyDescent="0.3">
      <c r="A533" s="227" t="s">
        <v>272</v>
      </c>
      <c r="B533" s="106" t="s">
        <v>70</v>
      </c>
      <c r="C533" s="107">
        <v>10366.893</v>
      </c>
      <c r="D533" s="107">
        <v>10359.82</v>
      </c>
      <c r="E533" s="106">
        <v>-7.0730000000000004</v>
      </c>
      <c r="F533" s="106">
        <v>35.26</v>
      </c>
    </row>
    <row r="534" spans="1:6" x14ac:dyDescent="0.3">
      <c r="A534" s="227"/>
      <c r="B534" s="106" t="s">
        <v>71</v>
      </c>
      <c r="C534" s="107">
        <v>10350.647000000001</v>
      </c>
      <c r="D534" s="107">
        <v>10343.442999999999</v>
      </c>
      <c r="E534" s="106">
        <v>-7.2039999999999997</v>
      </c>
      <c r="F534" s="106">
        <v>35.92</v>
      </c>
    </row>
    <row r="535" spans="1:6" x14ac:dyDescent="0.3">
      <c r="A535" s="227"/>
      <c r="B535" s="106" t="s">
        <v>99</v>
      </c>
      <c r="C535" s="107">
        <v>10336.450999999999</v>
      </c>
      <c r="D535" s="107">
        <v>10328.495999999999</v>
      </c>
      <c r="E535" s="106">
        <v>-7.9550000000000001</v>
      </c>
      <c r="F535" s="106">
        <v>39.659999999999997</v>
      </c>
    </row>
    <row r="536" spans="1:6" x14ac:dyDescent="0.3">
      <c r="A536" s="227"/>
      <c r="B536" s="106" t="s">
        <v>100</v>
      </c>
      <c r="C536" s="107">
        <v>10320.777</v>
      </c>
      <c r="D536" s="107">
        <v>10311.942999999999</v>
      </c>
      <c r="E536" s="106">
        <v>-8.8339999999999996</v>
      </c>
      <c r="F536" s="106">
        <v>44.05</v>
      </c>
    </row>
    <row r="537" spans="1:6" x14ac:dyDescent="0.3">
      <c r="A537" s="227"/>
      <c r="B537" s="106" t="s">
        <v>72</v>
      </c>
      <c r="C537" s="107">
        <v>10305.705</v>
      </c>
      <c r="D537" s="107">
        <v>10296.852000000001</v>
      </c>
      <c r="E537" s="106">
        <v>-8.8529999999999998</v>
      </c>
      <c r="F537" s="106">
        <v>44.14</v>
      </c>
    </row>
    <row r="538" spans="1:6" x14ac:dyDescent="0.3">
      <c r="A538" s="227" t="s">
        <v>273</v>
      </c>
      <c r="B538" s="106" t="s">
        <v>70</v>
      </c>
      <c r="C538" s="106">
        <v>34.011200000000002</v>
      </c>
      <c r="D538" s="106">
        <v>33.895499999999998</v>
      </c>
      <c r="E538" s="106">
        <v>-0.1157</v>
      </c>
      <c r="F538" s="106">
        <v>270.81</v>
      </c>
    </row>
    <row r="539" spans="1:6" x14ac:dyDescent="0.3">
      <c r="A539" s="227"/>
      <c r="B539" s="106" t="s">
        <v>99</v>
      </c>
      <c r="C539" s="106">
        <v>33.862400000000001</v>
      </c>
      <c r="D539" s="106">
        <v>33.730200000000004</v>
      </c>
      <c r="E539" s="106">
        <v>-0.13220000000000001</v>
      </c>
      <c r="F539" s="106">
        <v>309.43</v>
      </c>
    </row>
    <row r="540" spans="1:6" x14ac:dyDescent="0.3">
      <c r="A540" s="227"/>
      <c r="B540" s="106" t="s">
        <v>72</v>
      </c>
      <c r="C540" s="106">
        <v>33.631</v>
      </c>
      <c r="D540" s="106">
        <v>33.493200000000002</v>
      </c>
      <c r="E540" s="106">
        <v>-0.13780000000000001</v>
      </c>
      <c r="F540" s="106">
        <v>322.52999999999997</v>
      </c>
    </row>
    <row r="541" spans="1:6" x14ac:dyDescent="0.3">
      <c r="A541" s="227"/>
      <c r="B541" s="106" t="s">
        <v>101</v>
      </c>
      <c r="C541" s="106">
        <v>32.760100000000001</v>
      </c>
      <c r="D541" s="106">
        <v>32.694000000000003</v>
      </c>
      <c r="E541" s="106">
        <v>-6.6100000000000006E-2</v>
      </c>
      <c r="F541" s="106">
        <v>154.71</v>
      </c>
    </row>
    <row r="542" spans="1:6" x14ac:dyDescent="0.3">
      <c r="A542" s="227"/>
      <c r="B542" s="106" t="s">
        <v>102</v>
      </c>
      <c r="C542" s="106">
        <v>31.2224</v>
      </c>
      <c r="D542" s="106">
        <v>31.189399999999999</v>
      </c>
      <c r="E542" s="106">
        <v>-3.3000000000000002E-2</v>
      </c>
      <c r="F542" s="106">
        <v>77.239999999999995</v>
      </c>
    </row>
    <row r="543" spans="1:6" x14ac:dyDescent="0.3">
      <c r="A543" s="227"/>
      <c r="B543" s="106" t="s">
        <v>103</v>
      </c>
      <c r="C543" s="106">
        <v>30.527999999999999</v>
      </c>
      <c r="D543" s="106">
        <v>30.4894</v>
      </c>
      <c r="E543" s="106">
        <v>-3.8600000000000002E-2</v>
      </c>
      <c r="F543" s="106">
        <v>90.34</v>
      </c>
    </row>
    <row r="544" spans="1:6" x14ac:dyDescent="0.3">
      <c r="A544" s="227"/>
      <c r="B544" s="106" t="s">
        <v>74</v>
      </c>
      <c r="C544" s="106">
        <v>30.616199999999999</v>
      </c>
      <c r="D544" s="106">
        <v>30.566600000000001</v>
      </c>
      <c r="E544" s="106">
        <v>-4.9599999999999998E-2</v>
      </c>
      <c r="F544" s="106">
        <v>116.09</v>
      </c>
    </row>
    <row r="545" spans="1:6" x14ac:dyDescent="0.3">
      <c r="A545" s="227"/>
      <c r="B545" s="106" t="s">
        <v>243</v>
      </c>
      <c r="C545" s="106">
        <v>30.235900000000001</v>
      </c>
      <c r="D545" s="106">
        <v>30.164200000000001</v>
      </c>
      <c r="E545" s="106">
        <v>-7.17E-2</v>
      </c>
      <c r="F545" s="106">
        <v>167.82</v>
      </c>
    </row>
    <row r="546" spans="1:6" x14ac:dyDescent="0.3">
      <c r="A546" s="227" t="s">
        <v>274</v>
      </c>
      <c r="B546" s="106" t="s">
        <v>70</v>
      </c>
      <c r="C546" s="106">
        <v>574.4</v>
      </c>
      <c r="D546" s="106">
        <v>574.20000000000005</v>
      </c>
      <c r="E546" s="106">
        <v>-0.2</v>
      </c>
      <c r="F546" s="106">
        <v>35.020000000000003</v>
      </c>
    </row>
    <row r="547" spans="1:6" x14ac:dyDescent="0.3">
      <c r="A547" s="227"/>
      <c r="B547" s="106" t="s">
        <v>99</v>
      </c>
      <c r="C547" s="106">
        <v>575.4</v>
      </c>
      <c r="D547" s="106">
        <v>573</v>
      </c>
      <c r="E547" s="106">
        <v>-2.4</v>
      </c>
      <c r="F547" s="106">
        <v>420.29</v>
      </c>
    </row>
    <row r="548" spans="1:6" x14ac:dyDescent="0.3">
      <c r="A548" s="227"/>
      <c r="B548" s="106" t="s">
        <v>103</v>
      </c>
      <c r="C548" s="106">
        <v>542.4</v>
      </c>
      <c r="D548" s="106">
        <v>542.4</v>
      </c>
      <c r="E548" s="106">
        <v>0</v>
      </c>
      <c r="F548" s="106">
        <v>0</v>
      </c>
    </row>
    <row r="549" spans="1:6" x14ac:dyDescent="0.3">
      <c r="A549" s="227"/>
      <c r="B549" s="106" t="s">
        <v>210</v>
      </c>
      <c r="C549" s="106">
        <v>523.4</v>
      </c>
      <c r="D549" s="106">
        <v>518.79999999999995</v>
      </c>
      <c r="E549" s="106">
        <v>-4.5999999999999996</v>
      </c>
      <c r="F549" s="106">
        <v>805.56</v>
      </c>
    </row>
    <row r="550" spans="1:6" ht="30" customHeight="1" x14ac:dyDescent="0.3">
      <c r="A550" s="227" t="s">
        <v>275</v>
      </c>
      <c r="B550" s="106" t="s">
        <v>69</v>
      </c>
      <c r="C550" s="106">
        <v>46.8</v>
      </c>
      <c r="D550" s="106">
        <v>47.02</v>
      </c>
      <c r="E550" s="106">
        <v>0.22</v>
      </c>
      <c r="F550" s="106">
        <v>0.22</v>
      </c>
    </row>
    <row r="551" spans="1:6" x14ac:dyDescent="0.3">
      <c r="A551" s="227"/>
      <c r="B551" s="106" t="s">
        <v>70</v>
      </c>
      <c r="C551" s="106">
        <v>47.23</v>
      </c>
      <c r="D551" s="106">
        <v>47.45</v>
      </c>
      <c r="E551" s="106">
        <v>0.22</v>
      </c>
      <c r="F551" s="106">
        <v>0.22</v>
      </c>
    </row>
    <row r="552" spans="1:6" x14ac:dyDescent="0.3">
      <c r="A552" s="227"/>
      <c r="B552" s="106" t="s">
        <v>71</v>
      </c>
      <c r="C552" s="106">
        <v>47.78</v>
      </c>
      <c r="D552" s="106">
        <v>48</v>
      </c>
      <c r="E552" s="106">
        <v>0.22</v>
      </c>
      <c r="F552" s="106">
        <v>0.22</v>
      </c>
    </row>
    <row r="553" spans="1:6" x14ac:dyDescent="0.3">
      <c r="A553" s="227" t="s">
        <v>276</v>
      </c>
      <c r="B553" s="106" t="s">
        <v>70</v>
      </c>
      <c r="C553" s="106">
        <v>918</v>
      </c>
      <c r="D553" s="106">
        <v>920.2</v>
      </c>
      <c r="E553" s="106">
        <v>2.2000000000000002</v>
      </c>
      <c r="F553" s="106">
        <v>123.76</v>
      </c>
    </row>
    <row r="554" spans="1:6" x14ac:dyDescent="0.3">
      <c r="A554" s="227"/>
      <c r="B554" s="106" t="s">
        <v>71</v>
      </c>
      <c r="C554" s="106">
        <v>914.9</v>
      </c>
      <c r="D554" s="106">
        <v>917.2</v>
      </c>
      <c r="E554" s="106">
        <v>2.2999999999999998</v>
      </c>
      <c r="F554" s="106">
        <v>129.38999999999999</v>
      </c>
    </row>
    <row r="555" spans="1:6" x14ac:dyDescent="0.3">
      <c r="A555" s="227"/>
      <c r="B555" s="106" t="s">
        <v>99</v>
      </c>
      <c r="C555" s="106">
        <v>912.3</v>
      </c>
      <c r="D555" s="106">
        <v>914.5</v>
      </c>
      <c r="E555" s="106">
        <v>2.2000000000000002</v>
      </c>
      <c r="F555" s="106">
        <v>123.76</v>
      </c>
    </row>
    <row r="556" spans="1:6" x14ac:dyDescent="0.3">
      <c r="A556" s="227"/>
      <c r="B556" s="106" t="s">
        <v>100</v>
      </c>
      <c r="C556" s="106">
        <v>909.1</v>
      </c>
      <c r="D556" s="106">
        <v>911.3</v>
      </c>
      <c r="E556" s="106">
        <v>2.2000000000000002</v>
      </c>
      <c r="F556" s="106">
        <v>123.76</v>
      </c>
    </row>
    <row r="557" spans="1:6" x14ac:dyDescent="0.3">
      <c r="A557" s="227"/>
      <c r="B557" s="106" t="s">
        <v>72</v>
      </c>
      <c r="C557" s="106">
        <v>906.1</v>
      </c>
      <c r="D557" s="106">
        <v>908.3</v>
      </c>
      <c r="E557" s="106">
        <v>2.2000000000000002</v>
      </c>
      <c r="F557" s="106">
        <v>123.76</v>
      </c>
    </row>
    <row r="558" spans="1:6" ht="30" customHeight="1" x14ac:dyDescent="0.3">
      <c r="A558" s="227" t="s">
        <v>277</v>
      </c>
      <c r="B558" s="106" t="s">
        <v>70</v>
      </c>
      <c r="C558" s="106">
        <v>112.7812</v>
      </c>
      <c r="D558" s="106">
        <v>112.32810000000001</v>
      </c>
      <c r="E558" s="106">
        <v>-0.4531</v>
      </c>
      <c r="F558" s="107">
        <v>2333.7800000000002</v>
      </c>
    </row>
    <row r="559" spans="1:6" x14ac:dyDescent="0.3">
      <c r="A559" s="227"/>
      <c r="B559" s="106" t="s">
        <v>100</v>
      </c>
      <c r="C559" s="106">
        <v>113.32810000000001</v>
      </c>
      <c r="D559" s="106">
        <v>112.8593</v>
      </c>
      <c r="E559" s="106">
        <v>-0.46879999999999999</v>
      </c>
      <c r="F559" s="107">
        <v>2414.64</v>
      </c>
    </row>
    <row r="560" spans="1:6" x14ac:dyDescent="0.3">
      <c r="A560" s="227" t="s">
        <v>278</v>
      </c>
      <c r="B560" s="106" t="s">
        <v>70</v>
      </c>
      <c r="C560" s="106">
        <v>273.24400000000003</v>
      </c>
      <c r="D560" s="106">
        <v>275.00200000000001</v>
      </c>
      <c r="E560" s="106">
        <v>1.758</v>
      </c>
      <c r="F560" s="106">
        <v>131.85</v>
      </c>
    </row>
    <row r="561" spans="1:6" x14ac:dyDescent="0.3">
      <c r="A561" s="227"/>
      <c r="B561" s="106" t="s">
        <v>71</v>
      </c>
      <c r="C561" s="106">
        <v>269.68900000000002</v>
      </c>
      <c r="D561" s="106">
        <v>270.666</v>
      </c>
      <c r="E561" s="106">
        <v>0.97699999999999998</v>
      </c>
      <c r="F561" s="106">
        <v>73.27</v>
      </c>
    </row>
    <row r="562" spans="1:6" x14ac:dyDescent="0.3">
      <c r="A562" s="227"/>
      <c r="B562" s="106" t="s">
        <v>99</v>
      </c>
      <c r="C562" s="106">
        <v>265.89499999999998</v>
      </c>
      <c r="D562" s="106">
        <v>266.53500000000003</v>
      </c>
      <c r="E562" s="106">
        <v>0.64</v>
      </c>
      <c r="F562" s="106">
        <v>48</v>
      </c>
    </row>
    <row r="563" spans="1:6" x14ac:dyDescent="0.3">
      <c r="A563" s="227"/>
      <c r="B563" s="106" t="s">
        <v>100</v>
      </c>
      <c r="C563" s="106">
        <v>261.10500000000002</v>
      </c>
      <c r="D563" s="106">
        <v>261.517</v>
      </c>
      <c r="E563" s="106">
        <v>0.41199999999999998</v>
      </c>
      <c r="F563" s="106">
        <v>30.9</v>
      </c>
    </row>
    <row r="564" spans="1:6" x14ac:dyDescent="0.3">
      <c r="A564" s="227"/>
      <c r="B564" s="106" t="s">
        <v>72</v>
      </c>
      <c r="C564" s="106">
        <v>256.66899999999998</v>
      </c>
      <c r="D564" s="106">
        <v>256.767</v>
      </c>
      <c r="E564" s="106">
        <v>9.8000000000000004E-2</v>
      </c>
      <c r="F564" s="106">
        <v>7.35</v>
      </c>
    </row>
    <row r="565" spans="1:6" x14ac:dyDescent="0.3">
      <c r="A565" s="227" t="s">
        <v>279</v>
      </c>
      <c r="B565" s="106" t="s">
        <v>70</v>
      </c>
      <c r="C565" s="107">
        <v>18991.8</v>
      </c>
      <c r="D565" s="107">
        <v>18970.2</v>
      </c>
      <c r="E565" s="106">
        <v>-21.6</v>
      </c>
      <c r="F565" s="106">
        <v>59.28</v>
      </c>
    </row>
    <row r="566" spans="1:6" x14ac:dyDescent="0.3">
      <c r="A566" s="227"/>
      <c r="B566" s="106" t="s">
        <v>71</v>
      </c>
      <c r="C566" s="107">
        <v>19370.3</v>
      </c>
      <c r="D566" s="107">
        <v>19401.7</v>
      </c>
      <c r="E566" s="106">
        <v>31.4</v>
      </c>
      <c r="F566" s="106">
        <v>86.18</v>
      </c>
    </row>
    <row r="567" spans="1:6" x14ac:dyDescent="0.3">
      <c r="A567" s="227"/>
      <c r="B567" s="106" t="s">
        <v>99</v>
      </c>
      <c r="C567" s="107">
        <v>19734.8</v>
      </c>
      <c r="D567" s="107">
        <v>19790.8</v>
      </c>
      <c r="E567" s="106">
        <v>56</v>
      </c>
      <c r="F567" s="106">
        <v>153.71</v>
      </c>
    </row>
    <row r="568" spans="1:6" x14ac:dyDescent="0.3">
      <c r="A568" s="227"/>
      <c r="B568" s="106" t="s">
        <v>100</v>
      </c>
      <c r="C568" s="107">
        <v>20222.900000000001</v>
      </c>
      <c r="D568" s="107">
        <v>20297</v>
      </c>
      <c r="E568" s="106">
        <v>74.099999999999994</v>
      </c>
      <c r="F568" s="106">
        <v>203.39</v>
      </c>
    </row>
    <row r="569" spans="1:6" x14ac:dyDescent="0.3">
      <c r="A569" s="227"/>
      <c r="B569" s="106" t="s">
        <v>72</v>
      </c>
      <c r="C569" s="107">
        <v>20689.2</v>
      </c>
      <c r="D569" s="107">
        <v>20788.2</v>
      </c>
      <c r="E569" s="106">
        <v>99</v>
      </c>
      <c r="F569" s="106">
        <v>271.73</v>
      </c>
    </row>
    <row r="570" spans="1:6" ht="30" customHeight="1" x14ac:dyDescent="0.3">
      <c r="A570" s="227" t="s">
        <v>280</v>
      </c>
      <c r="B570" s="106" t="s">
        <v>69</v>
      </c>
      <c r="C570" s="106">
        <v>7.31</v>
      </c>
      <c r="D570" s="106">
        <v>7.13</v>
      </c>
      <c r="E570" s="106">
        <v>-0.18</v>
      </c>
      <c r="F570" s="106">
        <v>0.18</v>
      </c>
    </row>
    <row r="571" spans="1:6" x14ac:dyDescent="0.3">
      <c r="A571" s="227"/>
      <c r="B571" s="106" t="s">
        <v>70</v>
      </c>
      <c r="C571" s="106">
        <v>7.38</v>
      </c>
      <c r="D571" s="106">
        <v>7.2</v>
      </c>
      <c r="E571" s="106">
        <v>-0.18</v>
      </c>
      <c r="F571" s="106">
        <v>0.18</v>
      </c>
    </row>
    <row r="572" spans="1:6" x14ac:dyDescent="0.3">
      <c r="A572" s="227"/>
      <c r="B572" s="106" t="s">
        <v>71</v>
      </c>
      <c r="C572" s="106">
        <v>7.47</v>
      </c>
      <c r="D572" s="106">
        <v>7.28</v>
      </c>
      <c r="E572" s="106">
        <v>-0.19</v>
      </c>
      <c r="F572" s="106">
        <v>0.19</v>
      </c>
    </row>
    <row r="573" spans="1:6" ht="30" customHeight="1" x14ac:dyDescent="0.3">
      <c r="A573" s="227" t="s">
        <v>281</v>
      </c>
      <c r="B573" s="106" t="s">
        <v>69</v>
      </c>
      <c r="C573" s="106">
        <v>86.88</v>
      </c>
      <c r="D573" s="106">
        <v>87.23</v>
      </c>
      <c r="E573" s="106">
        <v>0.35</v>
      </c>
      <c r="F573" s="106">
        <v>0.35</v>
      </c>
    </row>
    <row r="574" spans="1:6" x14ac:dyDescent="0.3">
      <c r="A574" s="227"/>
      <c r="B574" s="106" t="s">
        <v>70</v>
      </c>
      <c r="C574" s="106">
        <v>87.68</v>
      </c>
      <c r="D574" s="106">
        <v>88.03</v>
      </c>
      <c r="E574" s="106">
        <v>0.35</v>
      </c>
      <c r="F574" s="106">
        <v>0.35</v>
      </c>
    </row>
    <row r="575" spans="1:6" x14ac:dyDescent="0.3">
      <c r="A575" s="227"/>
      <c r="B575" s="106" t="s">
        <v>71</v>
      </c>
      <c r="C575" s="106">
        <v>88.7</v>
      </c>
      <c r="D575" s="106">
        <v>89.06</v>
      </c>
      <c r="E575" s="106">
        <v>0.36</v>
      </c>
      <c r="F575" s="106">
        <v>0.36</v>
      </c>
    </row>
    <row r="576" spans="1:6" ht="30" customHeight="1" x14ac:dyDescent="0.3">
      <c r="A576" s="227" t="s">
        <v>282</v>
      </c>
      <c r="B576" s="106" t="s">
        <v>69</v>
      </c>
      <c r="C576" s="106">
        <v>2.16</v>
      </c>
      <c r="D576" s="106">
        <v>2.15</v>
      </c>
      <c r="E576" s="106">
        <v>-0.01</v>
      </c>
      <c r="F576" s="106">
        <v>0.01</v>
      </c>
    </row>
    <row r="577" spans="1:6" x14ac:dyDescent="0.3">
      <c r="A577" s="227"/>
      <c r="B577" s="106" t="s">
        <v>70</v>
      </c>
      <c r="C577" s="106">
        <v>2.16</v>
      </c>
      <c r="D577" s="106">
        <v>2.15</v>
      </c>
      <c r="E577" s="106">
        <v>-0.01</v>
      </c>
      <c r="F577" s="106">
        <v>0.01</v>
      </c>
    </row>
    <row r="578" spans="1:6" x14ac:dyDescent="0.3">
      <c r="A578" s="227"/>
      <c r="B578" s="106" t="s">
        <v>71</v>
      </c>
      <c r="C578" s="106">
        <v>2.16</v>
      </c>
      <c r="D578" s="106">
        <v>2.15</v>
      </c>
      <c r="E578" s="106">
        <v>-0.01</v>
      </c>
      <c r="F578" s="106">
        <v>0.01</v>
      </c>
    </row>
    <row r="579" spans="1:6" x14ac:dyDescent="0.3">
      <c r="A579" s="227" t="s">
        <v>283</v>
      </c>
      <c r="B579" s="106" t="s">
        <v>70</v>
      </c>
      <c r="C579" s="107">
        <v>5189.3810000000003</v>
      </c>
      <c r="D579" s="107">
        <v>5216.84</v>
      </c>
      <c r="E579" s="106">
        <v>27.459</v>
      </c>
      <c r="F579" s="106">
        <v>274.58999999999997</v>
      </c>
    </row>
    <row r="580" spans="1:6" x14ac:dyDescent="0.3">
      <c r="A580" s="227"/>
      <c r="B580" s="106" t="s">
        <v>71</v>
      </c>
      <c r="C580" s="107">
        <v>5223.9719999999998</v>
      </c>
      <c r="D580" s="107">
        <v>5251.3850000000002</v>
      </c>
      <c r="E580" s="106">
        <v>27.413</v>
      </c>
      <c r="F580" s="106">
        <v>274.13</v>
      </c>
    </row>
    <row r="581" spans="1:6" x14ac:dyDescent="0.3">
      <c r="A581" s="227"/>
      <c r="B581" s="106" t="s">
        <v>99</v>
      </c>
      <c r="C581" s="107">
        <v>5247.4279999999999</v>
      </c>
      <c r="D581" s="107">
        <v>5274.9459999999999</v>
      </c>
      <c r="E581" s="106">
        <v>27.518000000000001</v>
      </c>
      <c r="F581" s="106">
        <v>275.18</v>
      </c>
    </row>
    <row r="582" spans="1:6" x14ac:dyDescent="0.3">
      <c r="A582" s="227"/>
      <c r="B582" s="106" t="s">
        <v>100</v>
      </c>
      <c r="C582" s="107">
        <v>5280.2280000000001</v>
      </c>
      <c r="D582" s="107">
        <v>5308.0460000000003</v>
      </c>
      <c r="E582" s="106">
        <v>27.818000000000001</v>
      </c>
      <c r="F582" s="106">
        <v>278.18</v>
      </c>
    </row>
    <row r="583" spans="1:6" x14ac:dyDescent="0.3">
      <c r="A583" s="227"/>
      <c r="B583" s="106" t="s">
        <v>72</v>
      </c>
      <c r="C583" s="107">
        <v>5310.3019999999997</v>
      </c>
      <c r="D583" s="107">
        <v>5337.7849999999999</v>
      </c>
      <c r="E583" s="106">
        <v>27.483000000000001</v>
      </c>
      <c r="F583" s="106">
        <v>274.83</v>
      </c>
    </row>
    <row r="584" spans="1:6" x14ac:dyDescent="0.3">
      <c r="A584" s="227"/>
      <c r="B584" s="106" t="s">
        <v>73</v>
      </c>
      <c r="C584" s="107">
        <v>5397</v>
      </c>
      <c r="D584" s="107">
        <v>5422.0619999999999</v>
      </c>
      <c r="E584" s="106">
        <v>25.062000000000001</v>
      </c>
      <c r="F584" s="106">
        <v>250.62</v>
      </c>
    </row>
    <row r="585" spans="1:6" x14ac:dyDescent="0.3">
      <c r="A585" s="227"/>
      <c r="B585" s="106" t="s">
        <v>74</v>
      </c>
      <c r="C585" s="107">
        <v>5473.3149999999996</v>
      </c>
      <c r="D585" s="107">
        <v>5496.2619999999997</v>
      </c>
      <c r="E585" s="106">
        <v>22.946999999999999</v>
      </c>
      <c r="F585" s="106">
        <v>229.47</v>
      </c>
    </row>
    <row r="586" spans="1:6" x14ac:dyDescent="0.3">
      <c r="A586" s="227"/>
      <c r="B586" s="106" t="s">
        <v>225</v>
      </c>
      <c r="C586" s="107">
        <v>5506.009</v>
      </c>
      <c r="D586" s="107">
        <v>5527.36</v>
      </c>
      <c r="E586" s="106">
        <v>21.350999999999999</v>
      </c>
      <c r="F586" s="106">
        <v>213.51</v>
      </c>
    </row>
    <row r="587" spans="1:6" x14ac:dyDescent="0.3">
      <c r="A587" s="227"/>
      <c r="B587" s="106" t="s">
        <v>77</v>
      </c>
      <c r="C587" s="107">
        <v>5749.5349999999999</v>
      </c>
      <c r="D587" s="107">
        <v>5758.8670000000002</v>
      </c>
      <c r="E587" s="106">
        <v>9.3320000000000007</v>
      </c>
      <c r="F587" s="106">
        <v>93.32</v>
      </c>
    </row>
    <row r="588" spans="1:6" x14ac:dyDescent="0.3">
      <c r="A588" s="227"/>
      <c r="B588" s="106" t="s">
        <v>78</v>
      </c>
      <c r="C588" s="107">
        <v>5848.0450000000001</v>
      </c>
      <c r="D588" s="107">
        <v>5851.549</v>
      </c>
      <c r="E588" s="106">
        <v>3.504</v>
      </c>
      <c r="F588" s="106">
        <v>35.04</v>
      </c>
    </row>
    <row r="589" spans="1:6" ht="45" customHeight="1" x14ac:dyDescent="0.3">
      <c r="A589" s="227" t="s">
        <v>284</v>
      </c>
      <c r="B589" s="106" t="s">
        <v>69</v>
      </c>
      <c r="C589" s="106">
        <v>38.659999999999997</v>
      </c>
      <c r="D589" s="106">
        <v>38.42</v>
      </c>
      <c r="E589" s="106">
        <v>-0.24</v>
      </c>
      <c r="F589" s="106">
        <v>0.24</v>
      </c>
    </row>
    <row r="590" spans="1:6" x14ac:dyDescent="0.3">
      <c r="A590" s="227"/>
      <c r="B590" s="106" t="s">
        <v>70</v>
      </c>
      <c r="C590" s="106">
        <v>39.01</v>
      </c>
      <c r="D590" s="106">
        <v>38.770000000000003</v>
      </c>
      <c r="E590" s="106">
        <v>-0.24</v>
      </c>
      <c r="F590" s="106">
        <v>0.24</v>
      </c>
    </row>
    <row r="591" spans="1:6" x14ac:dyDescent="0.3">
      <c r="A591" s="227"/>
      <c r="B591" s="106" t="s">
        <v>71</v>
      </c>
      <c r="C591" s="106">
        <v>39.47</v>
      </c>
      <c r="D591" s="106">
        <v>39.229999999999997</v>
      </c>
      <c r="E591" s="106">
        <v>-0.24</v>
      </c>
      <c r="F591" s="106">
        <v>0.24</v>
      </c>
    </row>
    <row r="592" spans="1:6" x14ac:dyDescent="0.3">
      <c r="A592" s="106" t="s">
        <v>285</v>
      </c>
      <c r="B592" s="106" t="s">
        <v>70</v>
      </c>
      <c r="C592" s="107">
        <v>5574.0659999999998</v>
      </c>
      <c r="D592" s="107">
        <v>5604.942</v>
      </c>
      <c r="E592" s="106">
        <v>30.876000000000001</v>
      </c>
      <c r="F592" s="106">
        <v>308.76</v>
      </c>
    </row>
    <row r="593" spans="1:6" x14ac:dyDescent="0.3">
      <c r="A593" s="227" t="s">
        <v>286</v>
      </c>
      <c r="B593" s="106" t="s">
        <v>69</v>
      </c>
      <c r="C593" s="108">
        <v>109011</v>
      </c>
      <c r="D593" s="108">
        <v>107792</v>
      </c>
      <c r="E593" s="108">
        <v>-1219</v>
      </c>
      <c r="F593" s="106">
        <v>243.8</v>
      </c>
    </row>
    <row r="594" spans="1:6" x14ac:dyDescent="0.3">
      <c r="A594" s="227"/>
      <c r="B594" s="106" t="s">
        <v>71</v>
      </c>
      <c r="C594" s="108">
        <v>110830</v>
      </c>
      <c r="D594" s="108">
        <v>109562</v>
      </c>
      <c r="E594" s="108">
        <v>-1268</v>
      </c>
      <c r="F594" s="106">
        <v>253.6</v>
      </c>
    </row>
    <row r="595" spans="1:6" x14ac:dyDescent="0.3">
      <c r="A595" s="227"/>
      <c r="B595" s="106" t="s">
        <v>100</v>
      </c>
      <c r="C595" s="108">
        <v>112940</v>
      </c>
      <c r="D595" s="108">
        <v>111610</v>
      </c>
      <c r="E595" s="108">
        <v>-1330</v>
      </c>
      <c r="F595" s="106">
        <v>266</v>
      </c>
    </row>
    <row r="596" spans="1:6" x14ac:dyDescent="0.3">
      <c r="A596" s="227"/>
      <c r="B596" s="106" t="s">
        <v>101</v>
      </c>
      <c r="C596" s="108">
        <v>115224</v>
      </c>
      <c r="D596" s="108">
        <v>113816</v>
      </c>
      <c r="E596" s="108">
        <v>-1408</v>
      </c>
      <c r="F596" s="106">
        <v>281.60000000000002</v>
      </c>
    </row>
    <row r="597" spans="1:6" x14ac:dyDescent="0.3">
      <c r="A597" s="227"/>
      <c r="B597" s="106" t="s">
        <v>73</v>
      </c>
      <c r="C597" s="108">
        <v>117425</v>
      </c>
      <c r="D597" s="108">
        <v>115937</v>
      </c>
      <c r="E597" s="108">
        <v>-1488</v>
      </c>
      <c r="F597" s="106">
        <v>297.60000000000002</v>
      </c>
    </row>
    <row r="598" spans="1:6" x14ac:dyDescent="0.3">
      <c r="A598" s="227"/>
      <c r="B598" s="106" t="s">
        <v>104</v>
      </c>
      <c r="C598" s="108">
        <v>119377</v>
      </c>
      <c r="D598" s="108">
        <v>117817</v>
      </c>
      <c r="E598" s="108">
        <v>-1560</v>
      </c>
      <c r="F598" s="106">
        <v>312</v>
      </c>
    </row>
    <row r="599" spans="1:6" x14ac:dyDescent="0.3">
      <c r="A599" s="227"/>
      <c r="B599" s="106" t="s">
        <v>225</v>
      </c>
      <c r="C599" s="108">
        <v>121492</v>
      </c>
      <c r="D599" s="108">
        <v>119836</v>
      </c>
      <c r="E599" s="108">
        <v>-1656</v>
      </c>
      <c r="F599" s="106">
        <v>331.2</v>
      </c>
    </row>
    <row r="600" spans="1:6" x14ac:dyDescent="0.3">
      <c r="A600" s="227"/>
      <c r="B600" s="106" t="s">
        <v>75</v>
      </c>
      <c r="C600" s="108">
        <v>123743</v>
      </c>
      <c r="D600" s="108">
        <v>121974</v>
      </c>
      <c r="E600" s="108">
        <v>-1769</v>
      </c>
      <c r="F600" s="106">
        <v>353.8</v>
      </c>
    </row>
    <row r="601" spans="1:6" x14ac:dyDescent="0.3">
      <c r="A601" s="227"/>
      <c r="B601" s="106" t="s">
        <v>246</v>
      </c>
      <c r="C601" s="108">
        <v>125690</v>
      </c>
      <c r="D601" s="108">
        <v>123818</v>
      </c>
      <c r="E601" s="108">
        <v>-1872</v>
      </c>
      <c r="F601" s="106">
        <v>374.4</v>
      </c>
    </row>
    <row r="602" spans="1:6" x14ac:dyDescent="0.3">
      <c r="A602" s="227"/>
      <c r="B602" s="106" t="s">
        <v>137</v>
      </c>
      <c r="C602" s="108">
        <v>127984</v>
      </c>
      <c r="D602" s="108">
        <v>126014</v>
      </c>
      <c r="E602" s="108">
        <v>-1970</v>
      </c>
      <c r="F602" s="106">
        <v>394</v>
      </c>
    </row>
    <row r="603" spans="1:6" x14ac:dyDescent="0.3">
      <c r="A603" s="227"/>
      <c r="B603" s="106" t="s">
        <v>77</v>
      </c>
      <c r="C603" s="108">
        <v>130294</v>
      </c>
      <c r="D603" s="108">
        <v>128233</v>
      </c>
      <c r="E603" s="108">
        <v>-2061</v>
      </c>
      <c r="F603" s="106">
        <v>412.2</v>
      </c>
    </row>
    <row r="604" spans="1:6" x14ac:dyDescent="0.3">
      <c r="A604" s="227"/>
      <c r="B604" s="106" t="s">
        <v>247</v>
      </c>
      <c r="C604" s="108">
        <v>132578</v>
      </c>
      <c r="D604" s="108">
        <v>130434</v>
      </c>
      <c r="E604" s="108">
        <v>-2144</v>
      </c>
      <c r="F604" s="106">
        <v>428.8</v>
      </c>
    </row>
    <row r="605" spans="1:6" ht="75" customHeight="1" x14ac:dyDescent="0.3">
      <c r="A605" s="227" t="s">
        <v>287</v>
      </c>
      <c r="B605" s="106" t="s">
        <v>70</v>
      </c>
      <c r="C605" s="107">
        <v>4146</v>
      </c>
      <c r="D605" s="107">
        <v>4145.75</v>
      </c>
      <c r="E605" s="106">
        <v>-0.25</v>
      </c>
      <c r="F605" s="106">
        <v>3.25</v>
      </c>
    </row>
    <row r="606" spans="1:6" x14ac:dyDescent="0.3">
      <c r="A606" s="227"/>
      <c r="B606" s="106" t="s">
        <v>100</v>
      </c>
      <c r="C606" s="107">
        <v>4190.75</v>
      </c>
      <c r="D606" s="107">
        <v>4199</v>
      </c>
      <c r="E606" s="106">
        <v>8.25</v>
      </c>
      <c r="F606" s="106">
        <v>107.27</v>
      </c>
    </row>
    <row r="607" spans="1:6" ht="30" customHeight="1" x14ac:dyDescent="0.3">
      <c r="A607" s="227" t="s">
        <v>288</v>
      </c>
      <c r="B607" s="106" t="s">
        <v>69</v>
      </c>
      <c r="C607" s="107">
        <v>2842.9</v>
      </c>
      <c r="D607" s="107">
        <v>2847.3</v>
      </c>
      <c r="E607" s="106">
        <v>4.4000000000000004</v>
      </c>
      <c r="F607" s="106">
        <v>44</v>
      </c>
    </row>
    <row r="608" spans="1:6" x14ac:dyDescent="0.3">
      <c r="A608" s="227"/>
      <c r="B608" s="106" t="s">
        <v>71</v>
      </c>
      <c r="C608" s="107">
        <v>2907.2</v>
      </c>
      <c r="D608" s="107">
        <v>2911.7</v>
      </c>
      <c r="E608" s="106">
        <v>4.5</v>
      </c>
      <c r="F608" s="106">
        <v>45</v>
      </c>
    </row>
    <row r="609" spans="1:6" ht="15" customHeight="1" x14ac:dyDescent="0.3">
      <c r="A609" s="227" t="s">
        <v>289</v>
      </c>
      <c r="B609" s="106" t="s">
        <v>70</v>
      </c>
      <c r="C609" s="107">
        <v>2903.3339999999998</v>
      </c>
      <c r="D609" s="107">
        <v>2908.08</v>
      </c>
      <c r="E609" s="106">
        <v>4.7460000000000004</v>
      </c>
      <c r="F609" s="106">
        <v>166.11</v>
      </c>
    </row>
    <row r="610" spans="1:6" x14ac:dyDescent="0.3">
      <c r="A610" s="227"/>
      <c r="B610" s="106" t="s">
        <v>71</v>
      </c>
      <c r="C610" s="107">
        <v>2914.6379999999999</v>
      </c>
      <c r="D610" s="107">
        <v>2919.4110000000001</v>
      </c>
      <c r="E610" s="106">
        <v>4.7729999999999997</v>
      </c>
      <c r="F610" s="106">
        <v>167.05</v>
      </c>
    </row>
    <row r="611" spans="1:6" x14ac:dyDescent="0.3">
      <c r="A611" s="227"/>
      <c r="B611" s="106" t="s">
        <v>99</v>
      </c>
      <c r="C611" s="107">
        <v>2921.0590000000002</v>
      </c>
      <c r="D611" s="107">
        <v>2925.6129999999998</v>
      </c>
      <c r="E611" s="106">
        <v>4.5540000000000003</v>
      </c>
      <c r="F611" s="106">
        <v>159.38999999999999</v>
      </c>
    </row>
    <row r="612" spans="1:6" x14ac:dyDescent="0.3">
      <c r="A612" s="227"/>
      <c r="B612" s="106" t="s">
        <v>100</v>
      </c>
      <c r="C612" s="107">
        <v>2931.9380000000001</v>
      </c>
      <c r="D612" s="107">
        <v>2935.9229999999998</v>
      </c>
      <c r="E612" s="106">
        <v>3.9849999999999999</v>
      </c>
      <c r="F612" s="106">
        <v>139.47</v>
      </c>
    </row>
    <row r="613" spans="1:6" x14ac:dyDescent="0.3">
      <c r="A613" s="227"/>
      <c r="B613" s="106" t="s">
        <v>72</v>
      </c>
      <c r="C613" s="107">
        <v>2942.018</v>
      </c>
      <c r="D613" s="107">
        <v>2946.239</v>
      </c>
      <c r="E613" s="106">
        <v>4.2210000000000001</v>
      </c>
      <c r="F613" s="106">
        <v>147.72999999999999</v>
      </c>
    </row>
    <row r="615" spans="1:6" x14ac:dyDescent="0.3">
      <c r="A615" t="s">
        <v>290</v>
      </c>
    </row>
    <row r="616" spans="1:6" x14ac:dyDescent="0.3">
      <c r="A616" t="s">
        <v>291</v>
      </c>
    </row>
    <row r="617" spans="1:6" x14ac:dyDescent="0.3">
      <c r="A617" t="s">
        <v>292</v>
      </c>
    </row>
    <row r="618" spans="1:6" x14ac:dyDescent="0.3">
      <c r="A618" t="s">
        <v>293</v>
      </c>
    </row>
  </sheetData>
  <mergeCells count="86">
    <mergeCell ref="A27:A31"/>
    <mergeCell ref="A4:A6"/>
    <mergeCell ref="A7:A11"/>
    <mergeCell ref="A12:A16"/>
    <mergeCell ref="A17:A21"/>
    <mergeCell ref="A22:A26"/>
    <mergeCell ref="A85:A87"/>
    <mergeCell ref="A32:A34"/>
    <mergeCell ref="A35:A37"/>
    <mergeCell ref="A38:A40"/>
    <mergeCell ref="A41:A51"/>
    <mergeCell ref="A52:A53"/>
    <mergeCell ref="A54:A58"/>
    <mergeCell ref="A59:A63"/>
    <mergeCell ref="A64:A71"/>
    <mergeCell ref="A72:A74"/>
    <mergeCell ref="A75:A79"/>
    <mergeCell ref="A80:A84"/>
    <mergeCell ref="A249:A268"/>
    <mergeCell ref="A88:A92"/>
    <mergeCell ref="A93:A95"/>
    <mergeCell ref="A96:A100"/>
    <mergeCell ref="A101:A105"/>
    <mergeCell ref="A106:A108"/>
    <mergeCell ref="A109:A111"/>
    <mergeCell ref="A112:A131"/>
    <mergeCell ref="A132:A134"/>
    <mergeCell ref="A135:A172"/>
    <mergeCell ref="A173:A210"/>
    <mergeCell ref="A211:A248"/>
    <mergeCell ref="A386:A388"/>
    <mergeCell ref="A269:A271"/>
    <mergeCell ref="A272:A274"/>
    <mergeCell ref="A275:A286"/>
    <mergeCell ref="A287:A291"/>
    <mergeCell ref="A292:A296"/>
    <mergeCell ref="A297:A333"/>
    <mergeCell ref="A334:A370"/>
    <mergeCell ref="A371:A375"/>
    <mergeCell ref="A376:A380"/>
    <mergeCell ref="A381:A383"/>
    <mergeCell ref="A384:A385"/>
    <mergeCell ref="A440:A442"/>
    <mergeCell ref="A389:A396"/>
    <mergeCell ref="A397:A398"/>
    <mergeCell ref="A399:A410"/>
    <mergeCell ref="A411:A412"/>
    <mergeCell ref="A413:A416"/>
    <mergeCell ref="A417:A419"/>
    <mergeCell ref="A420:A422"/>
    <mergeCell ref="A423:A428"/>
    <mergeCell ref="A429:A431"/>
    <mergeCell ref="A432:A437"/>
    <mergeCell ref="A438:A439"/>
    <mergeCell ref="A519:A521"/>
    <mergeCell ref="A443:A447"/>
    <mergeCell ref="A448:A450"/>
    <mergeCell ref="A451:A452"/>
    <mergeCell ref="A453:A457"/>
    <mergeCell ref="A458:A462"/>
    <mergeCell ref="A463:A465"/>
    <mergeCell ref="A466:A470"/>
    <mergeCell ref="A471:A475"/>
    <mergeCell ref="A476:A513"/>
    <mergeCell ref="A514:A515"/>
    <mergeCell ref="A516:A518"/>
    <mergeCell ref="A570:A572"/>
    <mergeCell ref="A522:A524"/>
    <mergeCell ref="A525:A527"/>
    <mergeCell ref="A528:A532"/>
    <mergeCell ref="A533:A537"/>
    <mergeCell ref="A538:A545"/>
    <mergeCell ref="A546:A549"/>
    <mergeCell ref="A550:A552"/>
    <mergeCell ref="A553:A557"/>
    <mergeCell ref="A558:A559"/>
    <mergeCell ref="A560:A564"/>
    <mergeCell ref="A565:A569"/>
    <mergeCell ref="A607:A608"/>
    <mergeCell ref="A609:A613"/>
    <mergeCell ref="A573:A575"/>
    <mergeCell ref="A576:A578"/>
    <mergeCell ref="A579:A588"/>
    <mergeCell ref="A589:A591"/>
    <mergeCell ref="A593:A604"/>
    <mergeCell ref="A605:A606"/>
  </mergeCells>
  <hyperlinks>
    <hyperlink ref="H1" r:id="rId1" xr:uid="{00000000-0004-0000-0200-000000000000}"/>
  </hyperlinks>
  <pageMargins left="0.511811024" right="0.511811024" top="0.78740157499999996" bottom="0.78740157499999996" header="0.31496062000000002" footer="0.31496062000000002"/>
  <pageSetup paperSize="9" orientation="portrait" r:id="rId2"/>
  <headerFooter>
    <oddHeader>&amp;R&amp;"Calibri"&amp;10&amp;K000000#interna&amp;1#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U30"/>
  <sheetViews>
    <sheetView zoomScale="150" zoomScaleNormal="150" workbookViewId="0">
      <selection activeCell="B19" sqref="B19"/>
    </sheetView>
  </sheetViews>
  <sheetFormatPr defaultColWidth="8.88671875" defaultRowHeight="13.8" x14ac:dyDescent="0.3"/>
  <cols>
    <col min="1" max="1" width="10.44140625" style="39" customWidth="1"/>
    <col min="2" max="2" width="15.109375" style="39" bestFit="1" customWidth="1"/>
    <col min="3" max="3" width="16.6640625" style="39" customWidth="1"/>
    <col min="4" max="4" width="11.6640625" style="39" customWidth="1"/>
    <col min="5" max="5" width="16.33203125" style="39" customWidth="1"/>
    <col min="6" max="6" width="20.5546875" style="39" bestFit="1" customWidth="1"/>
    <col min="7" max="7" width="12.88671875" style="39" customWidth="1"/>
    <col min="8" max="8" width="13.109375" style="39" customWidth="1"/>
    <col min="9" max="9" width="9" style="39" customWidth="1"/>
    <col min="10" max="11" width="11.44140625" style="39" bestFit="1" customWidth="1"/>
    <col min="12" max="12" width="7.6640625" style="39" bestFit="1" customWidth="1"/>
    <col min="13" max="13" width="11" style="39" bestFit="1" customWidth="1"/>
    <col min="14" max="14" width="12.5546875" style="39" bestFit="1" customWidth="1"/>
    <col min="15" max="15" width="10.109375" style="39" bestFit="1" customWidth="1"/>
    <col min="16" max="16" width="9.88671875" style="39" customWidth="1"/>
    <col min="17" max="17" width="11.6640625" style="39" customWidth="1"/>
    <col min="18" max="18" width="12.5546875" style="39" bestFit="1" customWidth="1"/>
    <col min="19" max="19" width="8.5546875" style="39" customWidth="1"/>
    <col min="20" max="20" width="8.5546875" style="39" bestFit="1" customWidth="1"/>
    <col min="21" max="21" width="11.33203125" style="39" customWidth="1"/>
    <col min="22" max="16384" width="8.88671875" style="39"/>
  </cols>
  <sheetData>
    <row r="1" spans="1:21" ht="18" x14ac:dyDescent="0.35">
      <c r="A1" s="40" t="s">
        <v>107</v>
      </c>
      <c r="B1" s="41">
        <v>44971</v>
      </c>
    </row>
    <row r="3" spans="1:21" ht="39.6" x14ac:dyDescent="0.3">
      <c r="A3" s="48" t="s">
        <v>51</v>
      </c>
      <c r="B3" s="35" t="s">
        <v>52</v>
      </c>
      <c r="C3" s="35" t="s">
        <v>53</v>
      </c>
      <c r="D3" s="35" t="s">
        <v>54</v>
      </c>
      <c r="E3" s="35" t="s">
        <v>55</v>
      </c>
      <c r="F3" s="35" t="s">
        <v>56</v>
      </c>
      <c r="G3" s="48" t="s">
        <v>57</v>
      </c>
      <c r="H3" s="35" t="s">
        <v>58</v>
      </c>
      <c r="I3" s="35" t="s">
        <v>59</v>
      </c>
      <c r="J3" s="35" t="s">
        <v>60</v>
      </c>
      <c r="K3" s="35" t="s">
        <v>61</v>
      </c>
      <c r="L3" s="35" t="s">
        <v>62</v>
      </c>
      <c r="M3" s="35" t="s">
        <v>63</v>
      </c>
      <c r="N3" s="48" t="s">
        <v>64</v>
      </c>
      <c r="O3" s="48" t="s">
        <v>65</v>
      </c>
      <c r="P3" s="35" t="s">
        <v>66</v>
      </c>
      <c r="Q3" s="35" t="s">
        <v>67</v>
      </c>
      <c r="R3" s="23" t="s">
        <v>6</v>
      </c>
      <c r="S3" s="23" t="s">
        <v>1</v>
      </c>
      <c r="T3" s="23" t="s">
        <v>68</v>
      </c>
      <c r="U3" s="48" t="s">
        <v>294</v>
      </c>
    </row>
    <row r="4" spans="1:21" ht="15" x14ac:dyDescent="0.3">
      <c r="A4" s="45" t="s">
        <v>137</v>
      </c>
      <c r="B4" s="46">
        <v>230328</v>
      </c>
      <c r="C4" s="46">
        <v>229645</v>
      </c>
      <c r="D4" s="46">
        <v>32</v>
      </c>
      <c r="E4" s="46">
        <v>3095</v>
      </c>
      <c r="F4" s="46">
        <v>460282202</v>
      </c>
      <c r="G4" s="47">
        <v>91324.64</v>
      </c>
      <c r="H4" s="47">
        <v>91324.64</v>
      </c>
      <c r="I4" s="45">
        <v>6.29</v>
      </c>
      <c r="J4" s="45">
        <v>6.16</v>
      </c>
      <c r="K4" s="45">
        <v>6.29</v>
      </c>
      <c r="L4" s="45">
        <v>6.21</v>
      </c>
      <c r="M4" s="45">
        <v>6.16</v>
      </c>
      <c r="N4" s="47">
        <v>91463.11</v>
      </c>
      <c r="O4" s="45" t="s">
        <v>158</v>
      </c>
      <c r="P4" s="45">
        <v>0</v>
      </c>
      <c r="Q4" s="45">
        <v>6.2</v>
      </c>
      <c r="R4" s="42">
        <v>45519</v>
      </c>
      <c r="S4" s="43">
        <v>375</v>
      </c>
      <c r="T4" s="44">
        <f>+ROUND(((100000/N4)^(252/S4)-1)*100,2)</f>
        <v>6.18</v>
      </c>
      <c r="U4" s="45">
        <f>+'Ajustes B3'!F117</f>
        <v>225.25</v>
      </c>
    </row>
    <row r="5" spans="1:21" ht="15" x14ac:dyDescent="0.3">
      <c r="A5" s="45" t="s">
        <v>141</v>
      </c>
      <c r="B5" s="46">
        <v>137372</v>
      </c>
      <c r="C5" s="46">
        <v>139105</v>
      </c>
      <c r="D5" s="46">
        <v>47</v>
      </c>
      <c r="E5" s="46">
        <v>12582</v>
      </c>
      <c r="F5" s="46">
        <v>1489801232</v>
      </c>
      <c r="G5" s="47">
        <v>72591.61</v>
      </c>
      <c r="H5" s="47">
        <v>72591.61</v>
      </c>
      <c r="I5" s="45">
        <v>5.9</v>
      </c>
      <c r="J5" s="45">
        <v>5.9</v>
      </c>
      <c r="K5" s="45">
        <v>6.02</v>
      </c>
      <c r="L5" s="45">
        <v>5.96</v>
      </c>
      <c r="M5" s="45">
        <v>5.99</v>
      </c>
      <c r="N5" s="47">
        <v>72664.09</v>
      </c>
      <c r="O5" s="45" t="s">
        <v>163</v>
      </c>
      <c r="P5" s="45">
        <v>5.9</v>
      </c>
      <c r="Q5" s="45">
        <v>0</v>
      </c>
      <c r="R5" s="42">
        <v>46980</v>
      </c>
      <c r="S5" s="43">
        <v>1381</v>
      </c>
      <c r="T5" s="44">
        <f t="shared" ref="T5:T6" si="0">+ROUND(((100000/N5)^(252/S5)-1)*100,2)</f>
        <v>6</v>
      </c>
      <c r="U5" s="45">
        <f>+'Ajustes B3'!F122</f>
        <v>117.9</v>
      </c>
    </row>
    <row r="6" spans="1:21" ht="15" x14ac:dyDescent="0.3">
      <c r="A6" s="45" t="s">
        <v>145</v>
      </c>
      <c r="B6" s="46">
        <v>74060</v>
      </c>
      <c r="C6" s="46">
        <v>74290</v>
      </c>
      <c r="D6" s="46">
        <v>17</v>
      </c>
      <c r="E6" s="46">
        <v>1800</v>
      </c>
      <c r="F6" s="46">
        <v>140870364</v>
      </c>
      <c r="G6" s="47">
        <v>48065.56</v>
      </c>
      <c r="H6" s="47">
        <v>48065.56</v>
      </c>
      <c r="I6" s="45">
        <v>6.18</v>
      </c>
      <c r="J6" s="45">
        <v>6.18</v>
      </c>
      <c r="K6" s="45">
        <v>6.19</v>
      </c>
      <c r="L6" s="45">
        <v>6.18</v>
      </c>
      <c r="M6" s="45">
        <v>6.19</v>
      </c>
      <c r="N6" s="47">
        <v>48064.15</v>
      </c>
      <c r="O6" s="45" t="s">
        <v>167</v>
      </c>
      <c r="P6" s="45">
        <v>0</v>
      </c>
      <c r="Q6" s="45">
        <v>0</v>
      </c>
      <c r="R6" s="42">
        <v>49444</v>
      </c>
      <c r="S6" s="43">
        <v>3074</v>
      </c>
      <c r="T6" s="44">
        <f t="shared" si="0"/>
        <v>6.19</v>
      </c>
      <c r="U6" s="45">
        <f>+'Ajustes B3'!F126</f>
        <v>2.29</v>
      </c>
    </row>
    <row r="8" spans="1:21" ht="15" x14ac:dyDescent="0.3">
      <c r="A8" s="45" t="s">
        <v>137</v>
      </c>
      <c r="B8" s="46">
        <v>230328</v>
      </c>
      <c r="C8" s="46">
        <v>229645</v>
      </c>
      <c r="D8" s="45">
        <v>32</v>
      </c>
      <c r="E8" s="46">
        <v>3095</v>
      </c>
      <c r="F8" s="52">
        <f>+E8*N4*0.00025*$F$13</f>
        <v>460486342.79276949</v>
      </c>
      <c r="G8" s="47">
        <v>91300.18</v>
      </c>
      <c r="H8" s="52">
        <f>TRUNC(+G8*($H$12/$J$13),2)</f>
        <v>91324.64</v>
      </c>
      <c r="I8" s="45">
        <v>6.29</v>
      </c>
      <c r="J8" s="45">
        <v>6.16</v>
      </c>
      <c r="K8" s="45">
        <v>6.29</v>
      </c>
      <c r="L8" s="45">
        <v>6.21</v>
      </c>
      <c r="M8" s="45">
        <v>6.16</v>
      </c>
      <c r="N8" s="52">
        <f>100000/(1+T8/100)^(S8/252)</f>
        <v>91463.107129456286</v>
      </c>
      <c r="O8" s="52">
        <f>+N8-H8</f>
        <v>138.46712945628678</v>
      </c>
      <c r="P8" s="45">
        <v>0</v>
      </c>
      <c r="Q8" s="45">
        <v>6.2</v>
      </c>
      <c r="R8" s="42">
        <v>45519</v>
      </c>
      <c r="S8" s="43">
        <v>375</v>
      </c>
      <c r="T8" s="44">
        <v>6.18</v>
      </c>
      <c r="U8" s="52">
        <f>+(O8)*0.00025*$F$13</f>
        <v>225.24586415783628</v>
      </c>
    </row>
    <row r="9" spans="1:21" ht="15" x14ac:dyDescent="0.3">
      <c r="A9" s="45" t="s">
        <v>141</v>
      </c>
      <c r="B9" s="46">
        <v>137372</v>
      </c>
      <c r="C9" s="46">
        <v>139105</v>
      </c>
      <c r="D9" s="46">
        <v>47</v>
      </c>
      <c r="E9" s="46">
        <v>12582</v>
      </c>
      <c r="F9" s="52">
        <f t="shared" ref="F9:F10" si="1">+E9*N5*0.00025*$F$13</f>
        <v>1487235201.9999499</v>
      </c>
      <c r="G9" s="47">
        <v>72572.17</v>
      </c>
      <c r="H9" s="52">
        <f t="shared" ref="H9:H10" si="2">TRUNC(+G9*($H$12/$J$13),2)</f>
        <v>72591.61</v>
      </c>
      <c r="I9" s="45">
        <v>5.9</v>
      </c>
      <c r="J9" s="45">
        <v>5.9</v>
      </c>
      <c r="K9" s="45">
        <v>6.02</v>
      </c>
      <c r="L9" s="45">
        <v>5.96</v>
      </c>
      <c r="M9" s="45">
        <v>5.99</v>
      </c>
      <c r="N9" s="52">
        <f t="shared" ref="N9:N10" si="3">100000/(1+T9/100)^(S9/252)</f>
        <v>72664.090411203215</v>
      </c>
      <c r="O9" s="52">
        <f t="shared" ref="O9:O10" si="4">+N9-H9</f>
        <v>72.480411203214317</v>
      </c>
      <c r="P9" s="45">
        <v>5.9</v>
      </c>
      <c r="Q9" s="45">
        <v>0</v>
      </c>
      <c r="R9" s="42">
        <v>46980</v>
      </c>
      <c r="S9" s="43">
        <v>1381</v>
      </c>
      <c r="T9" s="44">
        <v>6</v>
      </c>
      <c r="U9" s="52">
        <f t="shared" ref="U9:U10" si="5">+(O9)*0.00025*$F$13</f>
        <v>117.90460970838076</v>
      </c>
    </row>
    <row r="10" spans="1:21" ht="15" x14ac:dyDescent="0.3">
      <c r="A10" s="45" t="s">
        <v>145</v>
      </c>
      <c r="B10" s="46">
        <v>74060</v>
      </c>
      <c r="C10" s="46">
        <v>74290</v>
      </c>
      <c r="D10" s="46">
        <v>17</v>
      </c>
      <c r="E10" s="46">
        <v>1800</v>
      </c>
      <c r="F10" s="52">
        <f t="shared" si="1"/>
        <v>140735580.20370001</v>
      </c>
      <c r="G10" s="47">
        <v>48052.69</v>
      </c>
      <c r="H10" s="52">
        <f t="shared" si="2"/>
        <v>48065.56</v>
      </c>
      <c r="I10" s="45">
        <v>6.18</v>
      </c>
      <c r="J10" s="45">
        <v>6.18</v>
      </c>
      <c r="K10" s="45">
        <v>6.19</v>
      </c>
      <c r="L10" s="45">
        <v>6.18</v>
      </c>
      <c r="M10" s="45">
        <v>6.19</v>
      </c>
      <c r="N10" s="52">
        <f t="shared" si="3"/>
        <v>48064.145844452287</v>
      </c>
      <c r="O10" s="52">
        <f t="shared" si="4"/>
        <v>-1.4141555477108341</v>
      </c>
      <c r="P10" s="45">
        <v>0</v>
      </c>
      <c r="Q10" s="45">
        <v>0</v>
      </c>
      <c r="R10" s="42">
        <v>49444</v>
      </c>
      <c r="S10" s="43">
        <v>3074</v>
      </c>
      <c r="T10" s="44">
        <v>6.19</v>
      </c>
      <c r="U10" s="52">
        <f t="shared" si="5"/>
        <v>-2.300420971016691</v>
      </c>
    </row>
    <row r="12" spans="1:21" ht="18" x14ac:dyDescent="0.35">
      <c r="E12" s="40" t="s">
        <v>186</v>
      </c>
      <c r="F12" s="102">
        <v>13.65</v>
      </c>
      <c r="G12" s="103" t="s">
        <v>189</v>
      </c>
      <c r="H12" s="104">
        <f>TRUNC((F12/100+1)^(1/252),7)</f>
        <v>1.0005078000000001</v>
      </c>
      <c r="L12"/>
      <c r="M12"/>
      <c r="N12"/>
    </row>
    <row r="13" spans="1:21" ht="18" x14ac:dyDescent="0.35">
      <c r="E13" s="40" t="s">
        <v>188</v>
      </c>
      <c r="F13" s="102">
        <v>6506.84</v>
      </c>
      <c r="G13" s="40" t="s">
        <v>187</v>
      </c>
      <c r="H13" s="102">
        <v>6505.28</v>
      </c>
      <c r="I13" s="103" t="s">
        <v>190</v>
      </c>
      <c r="J13" s="104">
        <f>TRUNC(F13/H13,7)</f>
        <v>1.0002397999999999</v>
      </c>
      <c r="L13"/>
      <c r="M13"/>
      <c r="N13"/>
    </row>
    <row r="14" spans="1:21" ht="14.4" x14ac:dyDescent="0.3">
      <c r="L14" s="68"/>
      <c r="M14"/>
      <c r="N14"/>
    </row>
    <row r="15" spans="1:21" ht="14.4" x14ac:dyDescent="0.3">
      <c r="B15" s="65"/>
      <c r="C15" s="65"/>
      <c r="D15" s="65"/>
      <c r="E15" s="65"/>
      <c r="F15" s="67"/>
      <c r="G15" s="67"/>
    </row>
    <row r="16" spans="1:21" ht="22.2" customHeight="1" x14ac:dyDescent="0.35">
      <c r="B16" s="65"/>
      <c r="C16" s="231" t="s">
        <v>181</v>
      </c>
      <c r="D16" s="231"/>
      <c r="E16" s="231"/>
      <c r="F16" s="229" t="s">
        <v>121</v>
      </c>
      <c r="G16" s="67"/>
    </row>
    <row r="17" spans="2:7" ht="22.2" customHeight="1" x14ac:dyDescent="0.35">
      <c r="B17" s="65"/>
      <c r="C17" s="231" t="s">
        <v>118</v>
      </c>
      <c r="D17" s="231"/>
      <c r="E17" s="231"/>
      <c r="F17" s="229"/>
      <c r="G17" s="67"/>
    </row>
    <row r="18" spans="2:7" ht="22.2" customHeight="1" x14ac:dyDescent="0.35">
      <c r="B18" s="65"/>
      <c r="C18" s="231" t="s">
        <v>180</v>
      </c>
      <c r="D18" s="231"/>
      <c r="E18" s="231"/>
      <c r="F18" s="229"/>
      <c r="G18" s="67"/>
    </row>
    <row r="19" spans="2:7" ht="22.2" customHeight="1" x14ac:dyDescent="0.35">
      <c r="B19" s="65"/>
      <c r="C19" s="231" t="s">
        <v>122</v>
      </c>
      <c r="D19" s="231"/>
      <c r="E19" s="231"/>
      <c r="F19" s="229"/>
      <c r="G19" s="67"/>
    </row>
    <row r="20" spans="2:7" ht="22.2" customHeight="1" x14ac:dyDescent="0.35">
      <c r="B20" s="65"/>
      <c r="C20" s="231" t="s">
        <v>179</v>
      </c>
      <c r="D20" s="231"/>
      <c r="E20" s="231"/>
      <c r="F20" s="229"/>
      <c r="G20" s="67"/>
    </row>
    <row r="21" spans="2:7" ht="22.2" x14ac:dyDescent="0.35">
      <c r="B21" s="65"/>
      <c r="C21" s="230" t="s">
        <v>306</v>
      </c>
      <c r="D21" s="230"/>
      <c r="E21" s="230"/>
      <c r="F21" s="229"/>
      <c r="G21" s="67"/>
    </row>
    <row r="22" spans="2:7" ht="13.95" customHeight="1" x14ac:dyDescent="1.65">
      <c r="B22" s="65"/>
      <c r="C22" s="63"/>
      <c r="D22" s="64"/>
      <c r="E22" s="65"/>
      <c r="F22" s="67"/>
      <c r="G22" s="67"/>
    </row>
    <row r="23" spans="2:7" ht="22.2" customHeight="1" x14ac:dyDescent="0.35">
      <c r="B23" s="65"/>
      <c r="C23" s="234" t="s">
        <v>182</v>
      </c>
      <c r="D23" s="234"/>
      <c r="E23" s="234"/>
      <c r="F23" s="233" t="s">
        <v>120</v>
      </c>
      <c r="G23" s="67"/>
    </row>
    <row r="24" spans="2:7" ht="22.2" customHeight="1" x14ac:dyDescent="0.35">
      <c r="B24" s="65"/>
      <c r="C24" s="234" t="s">
        <v>119</v>
      </c>
      <c r="D24" s="234"/>
      <c r="E24" s="234"/>
      <c r="F24" s="233"/>
      <c r="G24" s="67"/>
    </row>
    <row r="25" spans="2:7" ht="22.2" customHeight="1" x14ac:dyDescent="0.35">
      <c r="B25" s="65"/>
      <c r="C25" s="234" t="s">
        <v>183</v>
      </c>
      <c r="D25" s="234"/>
      <c r="E25" s="234"/>
      <c r="F25" s="233"/>
      <c r="G25" s="67"/>
    </row>
    <row r="26" spans="2:7" ht="22.2" customHeight="1" x14ac:dyDescent="0.35">
      <c r="B26" s="65"/>
      <c r="C26" s="234" t="s">
        <v>184</v>
      </c>
      <c r="D26" s="234"/>
      <c r="E26" s="234"/>
      <c r="F26" s="233"/>
      <c r="G26" s="67"/>
    </row>
    <row r="27" spans="2:7" ht="22.2" customHeight="1" x14ac:dyDescent="0.35">
      <c r="B27" s="65"/>
      <c r="C27" s="234" t="s">
        <v>123</v>
      </c>
      <c r="D27" s="234"/>
      <c r="E27" s="234"/>
      <c r="F27" s="233"/>
      <c r="G27" s="67"/>
    </row>
    <row r="28" spans="2:7" ht="22.2" x14ac:dyDescent="0.35">
      <c r="B28" s="65"/>
      <c r="C28" s="232" t="s">
        <v>185</v>
      </c>
      <c r="D28" s="232"/>
      <c r="E28" s="232"/>
      <c r="F28" s="233"/>
      <c r="G28" s="67"/>
    </row>
    <row r="29" spans="2:7" x14ac:dyDescent="0.3">
      <c r="B29" s="67"/>
      <c r="C29" s="67"/>
      <c r="D29" s="67"/>
      <c r="E29" s="67"/>
      <c r="F29" s="67"/>
      <c r="G29" s="67"/>
    </row>
    <row r="30" spans="2:7" x14ac:dyDescent="0.3">
      <c r="G30" s="67"/>
    </row>
  </sheetData>
  <mergeCells count="14">
    <mergeCell ref="C28:E28"/>
    <mergeCell ref="F23:F28"/>
    <mergeCell ref="C24:E24"/>
    <mergeCell ref="C25:E25"/>
    <mergeCell ref="C26:E26"/>
    <mergeCell ref="C27:E27"/>
    <mergeCell ref="C23:E23"/>
    <mergeCell ref="F16:F21"/>
    <mergeCell ref="C21:E21"/>
    <mergeCell ref="C16:E16"/>
    <mergeCell ref="C17:E17"/>
    <mergeCell ref="C18:E18"/>
    <mergeCell ref="C19:E19"/>
    <mergeCell ref="C20:E20"/>
  </mergeCells>
  <conditionalFormatting sqref="R5:R6">
    <cfRule type="cellIs" dxfId="2" priority="3" operator="equal">
      <formula>"Cadastrar ativo na aba Banco de Códigos B3"</formula>
    </cfRule>
  </conditionalFormatting>
  <conditionalFormatting sqref="R8:R10">
    <cfRule type="cellIs" dxfId="1" priority="2" operator="equal">
      <formula>"Cadastrar ativo na aba Banco de Códigos B3"</formula>
    </cfRule>
  </conditionalFormatting>
  <conditionalFormatting sqref="R4">
    <cfRule type="cellIs" dxfId="0" priority="1" operator="equal">
      <formula>"Cadastrar ativo na aba Banco de Códigos B3"</formula>
    </cfRule>
  </conditionalFormatting>
  <pageMargins left="0.511811024" right="0.511811024" top="0.78740157499999996" bottom="0.78740157499999996" header="0.31496062000000002" footer="0.31496062000000002"/>
  <pageSetup paperSize="9" orientation="portrait" r:id="rId1"/>
  <headerFooter>
    <oddHeader>&amp;R&amp;"Calibri"&amp;10&amp;K000000#interna&amp;1#</oddHeader>
  </headerFooter>
  <ignoredErrors>
    <ignoredError sqref="N8:N10 U4:U6 U8:U10 F8:F10 H8:H10 O8:O10" unlocked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Plan4"/>
  <dimension ref="A1:R76"/>
  <sheetViews>
    <sheetView showGridLines="0" topLeftCell="A30" zoomScale="96" zoomScaleNormal="96" workbookViewId="0">
      <selection activeCell="E58" sqref="E58"/>
    </sheetView>
  </sheetViews>
  <sheetFormatPr defaultColWidth="9.109375" defaultRowHeight="14.4" x14ac:dyDescent="0.3"/>
  <cols>
    <col min="1" max="1" width="22.44140625" customWidth="1"/>
    <col min="2" max="2" width="20.109375" bestFit="1" customWidth="1"/>
    <col min="3" max="3" width="21" bestFit="1" customWidth="1"/>
    <col min="4" max="6" width="14.109375" customWidth="1"/>
    <col min="7" max="7" width="15.44140625" bestFit="1" customWidth="1"/>
    <col min="8" max="8" width="14" bestFit="1" customWidth="1"/>
    <col min="9" max="9" width="14.33203125" customWidth="1"/>
    <col min="10" max="10" width="9.109375" customWidth="1"/>
    <col min="11" max="11" width="15.6640625" bestFit="1" customWidth="1"/>
    <col min="12" max="13" width="14" bestFit="1" customWidth="1"/>
    <col min="14" max="15" width="11.6640625" customWidth="1"/>
    <col min="16" max="16" width="13.6640625" bestFit="1" customWidth="1"/>
    <col min="17" max="17" width="14.109375" bestFit="1" customWidth="1"/>
    <col min="18" max="18" width="13.33203125" customWidth="1"/>
  </cols>
  <sheetData>
    <row r="1" spans="1:18" ht="21" x14ac:dyDescent="0.3">
      <c r="A1" s="158"/>
      <c r="B1" s="65"/>
      <c r="C1" s="65"/>
      <c r="D1" s="65"/>
      <c r="E1" s="65"/>
      <c r="F1" s="65"/>
      <c r="G1" s="159"/>
      <c r="H1" s="159"/>
      <c r="I1" s="235" t="s">
        <v>353</v>
      </c>
      <c r="J1" s="235"/>
      <c r="K1" s="159"/>
      <c r="L1" s="160"/>
      <c r="M1" s="160"/>
      <c r="N1" s="235" t="s">
        <v>354</v>
      </c>
      <c r="O1" s="235"/>
      <c r="P1" s="159"/>
      <c r="Q1" s="159"/>
    </row>
    <row r="2" spans="1:18" ht="16.2" x14ac:dyDescent="0.3">
      <c r="A2" s="161" t="s">
        <v>297</v>
      </c>
      <c r="B2" s="163" t="s">
        <v>363</v>
      </c>
      <c r="C2" s="162" t="s">
        <v>355</v>
      </c>
      <c r="D2" s="163" t="s">
        <v>302</v>
      </c>
      <c r="E2" s="164" t="s">
        <v>303</v>
      </c>
      <c r="F2" s="164" t="s">
        <v>304</v>
      </c>
      <c r="G2" s="165" t="s">
        <v>358</v>
      </c>
      <c r="H2" s="165" t="s">
        <v>359</v>
      </c>
      <c r="I2" s="165" t="s">
        <v>356</v>
      </c>
      <c r="J2" s="165" t="s">
        <v>357</v>
      </c>
      <c r="K2" s="166" t="s">
        <v>360</v>
      </c>
      <c r="L2" s="165" t="s">
        <v>361</v>
      </c>
      <c r="M2" s="165" t="s">
        <v>362</v>
      </c>
      <c r="N2" s="165" t="s">
        <v>356</v>
      </c>
      <c r="O2" s="165" t="s">
        <v>357</v>
      </c>
      <c r="P2" s="166" t="s">
        <v>300</v>
      </c>
      <c r="Q2" s="167" t="s">
        <v>301</v>
      </c>
    </row>
    <row r="3" spans="1:18" ht="15" x14ac:dyDescent="0.3">
      <c r="A3" s="191">
        <v>44819</v>
      </c>
      <c r="B3" s="192">
        <v>6388.87</v>
      </c>
      <c r="C3" s="193">
        <v>-0.36</v>
      </c>
      <c r="D3" s="173">
        <v>0</v>
      </c>
      <c r="E3" s="174">
        <v>1</v>
      </c>
      <c r="F3" s="174">
        <v>0</v>
      </c>
      <c r="G3" s="65"/>
      <c r="H3" s="65"/>
      <c r="I3" s="65"/>
      <c r="J3" s="65"/>
      <c r="K3" s="65"/>
      <c r="L3" s="65"/>
      <c r="M3" s="65"/>
      <c r="N3" s="65"/>
      <c r="O3" s="65"/>
      <c r="P3" s="65"/>
      <c r="Q3" s="65"/>
      <c r="R3" s="145"/>
    </row>
    <row r="4" spans="1:18" x14ac:dyDescent="0.3">
      <c r="A4" s="180">
        <v>44820</v>
      </c>
      <c r="B4" s="189">
        <f t="shared" ref="B4:B67" si="0">ROUND(+Q4,2)</f>
        <v>6388.5</v>
      </c>
      <c r="C4" s="181">
        <v>-0.12</v>
      </c>
      <c r="D4" s="178">
        <f t="shared" ref="D4:D35" si="1">+(B4/B3-1)*100</f>
        <v>-5.7913214699945037E-3</v>
      </c>
      <c r="E4" s="179">
        <f>+(D4/100+1)*E3</f>
        <v>0.99994208678530005</v>
      </c>
      <c r="F4" s="178">
        <f t="shared" ref="F4:F67" si="2">(+E4-1)*100</f>
        <v>-5.7913214699945037E-3</v>
      </c>
      <c r="G4" s="168"/>
      <c r="H4" s="169"/>
      <c r="I4" s="170"/>
      <c r="J4" s="170"/>
      <c r="K4" s="171">
        <f>WORKDAY(WORKDAY(DATEVALUE(CONCATENATE("15/"&amp;MONTH(A4)&amp;"/"&amp;YEAR(A4))),-1,Feriados!$A$2:$A$1037),1,Feriados!$A$2:$A$1037)</f>
        <v>44819</v>
      </c>
      <c r="L4" s="183">
        <f>VLOOKUP(K4,$A$2:$B$76,2,FALSE)</f>
        <v>6388.87</v>
      </c>
      <c r="M4" s="185">
        <f>WORKDAY(WORKDAY(DATEVALUE(CONCATENATE("15/"&amp;MONTH(EDATE(A4,1))&amp;"/"&amp;YEAR(EDATE(A4,1)))),-1,Feriados!$A$2:$A$1037),1,Feriados!$A$2:$A$1037)</f>
        <v>44851</v>
      </c>
      <c r="N4" s="186">
        <f>IF(P4="antes","",NETWORKDAYS(K4,A4-1,Feriados!$A$2:$A$1037))</f>
        <v>1</v>
      </c>
      <c r="O4" s="186">
        <f>IF(P4="antes","",NETWORKDAYS(K4,M4-1,Feriados!$A$2:$A$1037))</f>
        <v>21</v>
      </c>
      <c r="P4" s="172" t="str">
        <f t="shared" ref="P4:P35" si="3">IF(A4&gt;K4,"Após","Antes")</f>
        <v>Após</v>
      </c>
      <c r="Q4" s="188">
        <f t="shared" ref="Q4:Q35" si="4">IF(A4&gt;K4,TRUNC(+L4*((1+C4/100)^(N4/O4)),6),TRUNC(+H4*((1+C4/100)^(I4/J4)),6))</f>
        <v>6388.5047119999999</v>
      </c>
      <c r="R4" s="145"/>
    </row>
    <row r="5" spans="1:18" x14ac:dyDescent="0.3">
      <c r="A5" s="180">
        <v>44823</v>
      </c>
      <c r="B5" s="189">
        <f t="shared" si="0"/>
        <v>6388.14</v>
      </c>
      <c r="C5" s="181">
        <v>-0.12</v>
      </c>
      <c r="D5" s="178">
        <f t="shared" si="1"/>
        <v>-5.6351256163322816E-3</v>
      </c>
      <c r="E5" s="179">
        <f t="shared" ref="E5:E68" si="5">+(D5/100+1)*E4</f>
        <v>0.99988573879261911</v>
      </c>
      <c r="F5" s="178">
        <f t="shared" si="2"/>
        <v>-1.1426120738089462E-2</v>
      </c>
      <c r="G5" s="168"/>
      <c r="H5" s="169"/>
      <c r="I5" s="170"/>
      <c r="J5" s="170"/>
      <c r="K5" s="171">
        <f>WORKDAY(WORKDAY(DATEVALUE(CONCATENATE("15/"&amp;MONTH(A5)&amp;"/"&amp;YEAR(A5))),-1,Feriados!$A$2:$A$1037),1,Feriados!$A$2:$A$1037)</f>
        <v>44819</v>
      </c>
      <c r="L5" s="183">
        <f t="shared" ref="L5:L68" si="6">VLOOKUP(K5,$A$2:$B$76,2,FALSE)</f>
        <v>6388.87</v>
      </c>
      <c r="M5" s="185">
        <f>WORKDAY(WORKDAY(DATEVALUE(CONCATENATE("15/"&amp;MONTH(EDATE(A5,1))&amp;"/"&amp;YEAR(EDATE(A5,1)))),-1,Feriados!$A$2:$A$1037),1,Feriados!$A$2:$A$1037)</f>
        <v>44851</v>
      </c>
      <c r="N5" s="186">
        <f>IF(P5="antes","",NETWORKDAYS(K5,A5-1,Feriados!$A$2:$A$1037))</f>
        <v>2</v>
      </c>
      <c r="O5" s="186">
        <f>IF(P5="antes","",NETWORKDAYS(K5,M5-1,Feriados!$A$2:$A$1037))</f>
        <v>21</v>
      </c>
      <c r="P5" s="172" t="str">
        <f t="shared" si="3"/>
        <v>Após</v>
      </c>
      <c r="Q5" s="188">
        <f t="shared" si="4"/>
        <v>6388.1394460000001</v>
      </c>
      <c r="R5" s="145"/>
    </row>
    <row r="6" spans="1:18" x14ac:dyDescent="0.3">
      <c r="A6" s="180">
        <v>44824</v>
      </c>
      <c r="B6" s="189">
        <f t="shared" si="0"/>
        <v>6387.77</v>
      </c>
      <c r="C6" s="181">
        <v>-0.12</v>
      </c>
      <c r="D6" s="178">
        <f t="shared" si="1"/>
        <v>-5.7919832689989903E-3</v>
      </c>
      <c r="E6" s="179">
        <f t="shared" si="5"/>
        <v>0.99982782557791916</v>
      </c>
      <c r="F6" s="178">
        <f t="shared" si="2"/>
        <v>-1.7217442208083966E-2</v>
      </c>
      <c r="G6" s="168"/>
      <c r="H6" s="169"/>
      <c r="I6" s="170"/>
      <c r="J6" s="170"/>
      <c r="K6" s="171">
        <f>WORKDAY(WORKDAY(DATEVALUE(CONCATENATE("15/"&amp;MONTH(A6)&amp;"/"&amp;YEAR(A6))),-1,Feriados!$A$2:$A$1037),1,Feriados!$A$2:$A$1037)</f>
        <v>44819</v>
      </c>
      <c r="L6" s="183">
        <f t="shared" si="6"/>
        <v>6388.87</v>
      </c>
      <c r="M6" s="185">
        <f>WORKDAY(WORKDAY(DATEVALUE(CONCATENATE("15/"&amp;MONTH(EDATE(A6,1))&amp;"/"&amp;YEAR(EDATE(A6,1)))),-1,Feriados!$A$2:$A$1037),1,Feriados!$A$2:$A$1037)</f>
        <v>44851</v>
      </c>
      <c r="N6" s="186">
        <f>IF(P6="antes","",NETWORKDAYS(K6,A6-1,Feriados!$A$2:$A$1037))</f>
        <v>3</v>
      </c>
      <c r="O6" s="186">
        <f>IF(P6="antes","",NETWORKDAYS(K6,M6-1,Feriados!$A$2:$A$1037))</f>
        <v>21</v>
      </c>
      <c r="P6" s="172" t="str">
        <f t="shared" si="3"/>
        <v>Após</v>
      </c>
      <c r="Q6" s="188">
        <f t="shared" si="4"/>
        <v>6387.7742010000002</v>
      </c>
      <c r="R6" s="145"/>
    </row>
    <row r="7" spans="1:18" x14ac:dyDescent="0.3">
      <c r="A7" s="180">
        <v>44825</v>
      </c>
      <c r="B7" s="189">
        <f t="shared" si="0"/>
        <v>6387.41</v>
      </c>
      <c r="C7" s="181">
        <v>-0.12</v>
      </c>
      <c r="D7" s="178">
        <f t="shared" si="1"/>
        <v>-5.6357696034847748E-3</v>
      </c>
      <c r="E7" s="179">
        <f t="shared" si="5"/>
        <v>0.9997714775852381</v>
      </c>
      <c r="F7" s="178">
        <f t="shared" si="2"/>
        <v>-2.2852241476190027E-2</v>
      </c>
      <c r="G7" s="168"/>
      <c r="H7" s="169"/>
      <c r="I7" s="170"/>
      <c r="J7" s="170"/>
      <c r="K7" s="171">
        <f>WORKDAY(WORKDAY(DATEVALUE(CONCATENATE("15/"&amp;MONTH(A7)&amp;"/"&amp;YEAR(A7))),-1,Feriados!$A$2:$A$1037),1,Feriados!$A$2:$A$1037)</f>
        <v>44819</v>
      </c>
      <c r="L7" s="183">
        <f t="shared" si="6"/>
        <v>6388.87</v>
      </c>
      <c r="M7" s="185">
        <f>WORKDAY(WORKDAY(DATEVALUE(CONCATENATE("15/"&amp;MONTH(EDATE(A7,1))&amp;"/"&amp;YEAR(EDATE(A7,1)))),-1,Feriados!$A$2:$A$1037),1,Feriados!$A$2:$A$1037)</f>
        <v>44851</v>
      </c>
      <c r="N7" s="186">
        <f>IF(P7="antes","",NETWORKDAYS(K7,A7-1,Feriados!$A$2:$A$1037))</f>
        <v>4</v>
      </c>
      <c r="O7" s="186">
        <f>IF(P7="antes","",NETWORKDAYS(K7,M7-1,Feriados!$A$2:$A$1037))</f>
        <v>21</v>
      </c>
      <c r="P7" s="172" t="str">
        <f t="shared" si="3"/>
        <v>Após</v>
      </c>
      <c r="Q7" s="188">
        <f t="shared" si="4"/>
        <v>6387.408977</v>
      </c>
      <c r="R7" s="145"/>
    </row>
    <row r="8" spans="1:18" x14ac:dyDescent="0.3">
      <c r="A8" s="180">
        <v>44826</v>
      </c>
      <c r="B8" s="189">
        <f t="shared" si="0"/>
        <v>6387.04</v>
      </c>
      <c r="C8" s="181">
        <v>-0.12</v>
      </c>
      <c r="D8" s="178">
        <f t="shared" si="1"/>
        <v>-5.7926452192602618E-3</v>
      </c>
      <c r="E8" s="179">
        <f t="shared" si="5"/>
        <v>0.99971356437053827</v>
      </c>
      <c r="F8" s="178">
        <f t="shared" si="2"/>
        <v>-2.8643562946173429E-2</v>
      </c>
      <c r="G8" s="168"/>
      <c r="H8" s="169"/>
      <c r="I8" s="170"/>
      <c r="J8" s="170"/>
      <c r="K8" s="171">
        <f>WORKDAY(WORKDAY(DATEVALUE(CONCATENATE("15/"&amp;MONTH(A8)&amp;"/"&amp;YEAR(A8))),-1,Feriados!$A$2:$A$1037),1,Feriados!$A$2:$A$1037)</f>
        <v>44819</v>
      </c>
      <c r="L8" s="183">
        <f t="shared" si="6"/>
        <v>6388.87</v>
      </c>
      <c r="M8" s="185">
        <f>WORKDAY(WORKDAY(DATEVALUE(CONCATENATE("15/"&amp;MONTH(EDATE(A8,1))&amp;"/"&amp;YEAR(EDATE(A8,1)))),-1,Feriados!$A$2:$A$1037),1,Feriados!$A$2:$A$1037)</f>
        <v>44851</v>
      </c>
      <c r="N8" s="186">
        <f>IF(P8="antes","",NETWORKDAYS(K8,A8-1,Feriados!$A$2:$A$1037))</f>
        <v>5</v>
      </c>
      <c r="O8" s="186">
        <f>IF(P8="antes","",NETWORKDAYS(K8,M8-1,Feriados!$A$2:$A$1037))</f>
        <v>21</v>
      </c>
      <c r="P8" s="172" t="str">
        <f t="shared" si="3"/>
        <v>Após</v>
      </c>
      <c r="Q8" s="188">
        <f t="shared" si="4"/>
        <v>6387.0437730000003</v>
      </c>
      <c r="R8" s="145"/>
    </row>
    <row r="9" spans="1:18" x14ac:dyDescent="0.3">
      <c r="A9" s="180">
        <v>44827</v>
      </c>
      <c r="B9" s="189">
        <f t="shared" si="0"/>
        <v>6386.68</v>
      </c>
      <c r="C9" s="181">
        <v>-0.12</v>
      </c>
      <c r="D9" s="178">
        <f t="shared" si="1"/>
        <v>-5.6364137378084322E-3</v>
      </c>
      <c r="E9" s="179">
        <f t="shared" si="5"/>
        <v>0.99965721637785732</v>
      </c>
      <c r="F9" s="178">
        <f t="shared" si="2"/>
        <v>-3.4278362214268387E-2</v>
      </c>
      <c r="G9" s="168"/>
      <c r="H9" s="169"/>
      <c r="I9" s="170"/>
      <c r="J9" s="170"/>
      <c r="K9" s="171">
        <f>WORKDAY(WORKDAY(DATEVALUE(CONCATENATE("15/"&amp;MONTH(A9)&amp;"/"&amp;YEAR(A9))),-1,Feriados!$A$2:$A$1037),1,Feriados!$A$2:$A$1037)</f>
        <v>44819</v>
      </c>
      <c r="L9" s="183">
        <f t="shared" si="6"/>
        <v>6388.87</v>
      </c>
      <c r="M9" s="185">
        <f>WORKDAY(WORKDAY(DATEVALUE(CONCATENATE("15/"&amp;MONTH(EDATE(A9,1))&amp;"/"&amp;YEAR(EDATE(A9,1)))),-1,Feriados!$A$2:$A$1037),1,Feriados!$A$2:$A$1037)</f>
        <v>44851</v>
      </c>
      <c r="N9" s="186">
        <f>IF(P9="antes","",NETWORKDAYS(K9,A9-1,Feriados!$A$2:$A$1037))</f>
        <v>6</v>
      </c>
      <c r="O9" s="186">
        <f>IF(P9="antes","",NETWORKDAYS(K9,M9-1,Feriados!$A$2:$A$1037))</f>
        <v>21</v>
      </c>
      <c r="P9" s="172" t="str">
        <f t="shared" si="3"/>
        <v>Após</v>
      </c>
      <c r="Q9" s="188">
        <f t="shared" si="4"/>
        <v>6386.6785900000004</v>
      </c>
      <c r="R9" s="145"/>
    </row>
    <row r="10" spans="1:18" x14ac:dyDescent="0.3">
      <c r="A10" s="180">
        <v>44830</v>
      </c>
      <c r="B10" s="189">
        <f t="shared" si="0"/>
        <v>6386.31</v>
      </c>
      <c r="C10" s="181">
        <v>-0.12</v>
      </c>
      <c r="D10" s="178">
        <f t="shared" si="1"/>
        <v>-5.7933073208560337E-3</v>
      </c>
      <c r="E10" s="179">
        <f t="shared" si="5"/>
        <v>0.99959930316315748</v>
      </c>
      <c r="F10" s="178">
        <f t="shared" si="2"/>
        <v>-4.0069683684251789E-2</v>
      </c>
      <c r="G10" s="168"/>
      <c r="H10" s="169"/>
      <c r="I10" s="170"/>
      <c r="J10" s="170"/>
      <c r="K10" s="171">
        <f>WORKDAY(WORKDAY(DATEVALUE(CONCATENATE("15/"&amp;MONTH(A10)&amp;"/"&amp;YEAR(A10))),-1,Feriados!$A$2:$A$1037),1,Feriados!$A$2:$A$1037)</f>
        <v>44819</v>
      </c>
      <c r="L10" s="183">
        <f t="shared" si="6"/>
        <v>6388.87</v>
      </c>
      <c r="M10" s="185">
        <f>WORKDAY(WORKDAY(DATEVALUE(CONCATENATE("15/"&amp;MONTH(EDATE(A10,1))&amp;"/"&amp;YEAR(EDATE(A10,1)))),-1,Feriados!$A$2:$A$1037),1,Feriados!$A$2:$A$1037)</f>
        <v>44851</v>
      </c>
      <c r="N10" s="186">
        <f>IF(P10="antes","",NETWORKDAYS(K10,A10-1,Feriados!$A$2:$A$1037))</f>
        <v>7</v>
      </c>
      <c r="O10" s="186">
        <f>IF(P10="antes","",NETWORKDAYS(K10,M10-1,Feriados!$A$2:$A$1037))</f>
        <v>21</v>
      </c>
      <c r="P10" s="172" t="str">
        <f t="shared" si="3"/>
        <v>Após</v>
      </c>
      <c r="Q10" s="188">
        <f t="shared" si="4"/>
        <v>6386.3134289999998</v>
      </c>
      <c r="R10" s="145"/>
    </row>
    <row r="11" spans="1:18" x14ac:dyDescent="0.3">
      <c r="A11" s="180">
        <v>44831</v>
      </c>
      <c r="B11" s="189">
        <f t="shared" si="0"/>
        <v>6385.95</v>
      </c>
      <c r="C11" s="181">
        <v>-0.12</v>
      </c>
      <c r="D11" s="178">
        <f t="shared" si="1"/>
        <v>-5.6370580194253783E-3</v>
      </c>
      <c r="E11" s="179">
        <f t="shared" si="5"/>
        <v>0.99954295517047642</v>
      </c>
      <c r="F11" s="178">
        <f t="shared" si="2"/>
        <v>-4.570448295235785E-2</v>
      </c>
      <c r="G11" s="168"/>
      <c r="H11" s="169"/>
      <c r="I11" s="170"/>
      <c r="J11" s="170"/>
      <c r="K11" s="171">
        <f>WORKDAY(WORKDAY(DATEVALUE(CONCATENATE("15/"&amp;MONTH(A11)&amp;"/"&amp;YEAR(A11))),-1,Feriados!$A$2:$A$1037),1,Feriados!$A$2:$A$1037)</f>
        <v>44819</v>
      </c>
      <c r="L11" s="183">
        <f t="shared" si="6"/>
        <v>6388.87</v>
      </c>
      <c r="M11" s="185">
        <f>WORKDAY(WORKDAY(DATEVALUE(CONCATENATE("15/"&amp;MONTH(EDATE(A11,1))&amp;"/"&amp;YEAR(EDATE(A11,1)))),-1,Feriados!$A$2:$A$1037),1,Feriados!$A$2:$A$1037)</f>
        <v>44851</v>
      </c>
      <c r="N11" s="186">
        <f>IF(P11="antes","",NETWORKDAYS(K11,A11-1,Feriados!$A$2:$A$1037))</f>
        <v>8</v>
      </c>
      <c r="O11" s="186">
        <f>IF(P11="antes","",NETWORKDAYS(K11,M11-1,Feriados!$A$2:$A$1037))</f>
        <v>21</v>
      </c>
      <c r="P11" s="172" t="str">
        <f t="shared" si="3"/>
        <v>Após</v>
      </c>
      <c r="Q11" s="188">
        <f t="shared" si="4"/>
        <v>6385.9482879999996</v>
      </c>
      <c r="R11" s="145"/>
    </row>
    <row r="12" spans="1:18" x14ac:dyDescent="0.3">
      <c r="A12" s="180">
        <v>44832</v>
      </c>
      <c r="B12" s="189">
        <f t="shared" si="0"/>
        <v>6380.1</v>
      </c>
      <c r="C12" s="181">
        <v>-0.32</v>
      </c>
      <c r="D12" s="178">
        <f t="shared" si="1"/>
        <v>-9.1607356775413873E-2</v>
      </c>
      <c r="E12" s="179">
        <f t="shared" si="5"/>
        <v>0.99862730028940994</v>
      </c>
      <c r="F12" s="178">
        <f t="shared" si="2"/>
        <v>-0.1372699710590064</v>
      </c>
      <c r="G12" s="168"/>
      <c r="H12" s="169"/>
      <c r="I12" s="170"/>
      <c r="J12" s="170"/>
      <c r="K12" s="171">
        <f>WORKDAY(WORKDAY(DATEVALUE(CONCATENATE("15/"&amp;MONTH(A12)&amp;"/"&amp;YEAR(A12))),-1,Feriados!$A$2:$A$1037),1,Feriados!$A$2:$A$1037)</f>
        <v>44819</v>
      </c>
      <c r="L12" s="183">
        <f t="shared" si="6"/>
        <v>6388.87</v>
      </c>
      <c r="M12" s="185">
        <f>WORKDAY(WORKDAY(DATEVALUE(CONCATENATE("15/"&amp;MONTH(EDATE(A12,1))&amp;"/"&amp;YEAR(EDATE(A12,1)))),-1,Feriados!$A$2:$A$1037),1,Feriados!$A$2:$A$1037)</f>
        <v>44851</v>
      </c>
      <c r="N12" s="186">
        <f>IF(P12="antes","",NETWORKDAYS(K12,A12-1,Feriados!$A$2:$A$1037))</f>
        <v>9</v>
      </c>
      <c r="O12" s="186">
        <f>IF(P12="antes","",NETWORKDAYS(K12,M12-1,Feriados!$A$2:$A$1037))</f>
        <v>21</v>
      </c>
      <c r="P12" s="172" t="str">
        <f t="shared" si="3"/>
        <v>Após</v>
      </c>
      <c r="Q12" s="188">
        <f t="shared" si="4"/>
        <v>6380.1000960000001</v>
      </c>
      <c r="R12" s="145"/>
    </row>
    <row r="13" spans="1:18" x14ac:dyDescent="0.3">
      <c r="A13" s="180">
        <v>44833</v>
      </c>
      <c r="B13" s="189">
        <f t="shared" si="0"/>
        <v>6379.13</v>
      </c>
      <c r="C13" s="181">
        <v>-0.32</v>
      </c>
      <c r="D13" s="178">
        <f t="shared" si="1"/>
        <v>-1.5203523455753487E-2</v>
      </c>
      <c r="E13" s="179">
        <f t="shared" si="5"/>
        <v>0.99847547375357493</v>
      </c>
      <c r="F13" s="178">
        <f t="shared" si="2"/>
        <v>-0.15245262464250731</v>
      </c>
      <c r="G13" s="168"/>
      <c r="H13" s="169"/>
      <c r="I13" s="170"/>
      <c r="J13" s="170"/>
      <c r="K13" s="171">
        <f>WORKDAY(WORKDAY(DATEVALUE(CONCATENATE("15/"&amp;MONTH(A13)&amp;"/"&amp;YEAR(A13))),-1,Feriados!$A$2:$A$1037),1,Feriados!$A$2:$A$1037)</f>
        <v>44819</v>
      </c>
      <c r="L13" s="183">
        <f t="shared" si="6"/>
        <v>6388.87</v>
      </c>
      <c r="M13" s="185">
        <f>WORKDAY(WORKDAY(DATEVALUE(CONCATENATE("15/"&amp;MONTH(EDATE(A13,1))&amp;"/"&amp;YEAR(EDATE(A13,1)))),-1,Feriados!$A$2:$A$1037),1,Feriados!$A$2:$A$1037)</f>
        <v>44851</v>
      </c>
      <c r="N13" s="186">
        <f>IF(P13="antes","",NETWORKDAYS(K13,A13-1,Feriados!$A$2:$A$1037))</f>
        <v>10</v>
      </c>
      <c r="O13" s="186">
        <f>IF(P13="antes","",NETWORKDAYS(K13,M13-1,Feriados!$A$2:$A$1037))</f>
        <v>21</v>
      </c>
      <c r="P13" s="172" t="str">
        <f t="shared" si="3"/>
        <v>Após</v>
      </c>
      <c r="Q13" s="188">
        <f t="shared" si="4"/>
        <v>6379.1264060000003</v>
      </c>
      <c r="R13" s="145"/>
    </row>
    <row r="14" spans="1:18" x14ac:dyDescent="0.3">
      <c r="A14" s="180">
        <v>44834</v>
      </c>
      <c r="B14" s="189">
        <f t="shared" si="0"/>
        <v>6378.15</v>
      </c>
      <c r="C14" s="181">
        <v>-0.32</v>
      </c>
      <c r="D14" s="178">
        <f t="shared" si="1"/>
        <v>-1.5362596466927947E-2</v>
      </c>
      <c r="E14" s="179">
        <f t="shared" si="5"/>
        <v>0.99832208199572092</v>
      </c>
      <c r="F14" s="178">
        <f t="shared" si="2"/>
        <v>-0.16779180042790776</v>
      </c>
      <c r="G14" s="175"/>
      <c r="H14" s="169"/>
      <c r="I14" s="176"/>
      <c r="J14" s="176"/>
      <c r="K14" s="177">
        <f>WORKDAY(WORKDAY(DATEVALUE(CONCATENATE("15/"&amp;MONTH(A14)&amp;"/"&amp;YEAR(A14))),-1,Feriados!$A$2:$A$1037),1,Feriados!$A$2:$A$1037)</f>
        <v>44819</v>
      </c>
      <c r="L14" s="183">
        <f t="shared" si="6"/>
        <v>6388.87</v>
      </c>
      <c r="M14" s="182">
        <f>WORKDAY(WORKDAY(DATEVALUE(CONCATENATE("15/"&amp;MONTH(EDATE(A14,1))&amp;"/"&amp;YEAR(EDATE(A14,1)))),-1,Feriados!$A$2:$A$1037),1,Feriados!$A$2:$A$1037)</f>
        <v>44851</v>
      </c>
      <c r="N14" s="186">
        <f>IF(P14="antes","",NETWORKDAYS(K14,A14-1,Feriados!$A$2:$A$1037))</f>
        <v>11</v>
      </c>
      <c r="O14" s="186">
        <f>IF(P14="antes","",NETWORKDAYS(K14,M14-1,Feriados!$A$2:$A$1037))</f>
        <v>21</v>
      </c>
      <c r="P14" s="172" t="str">
        <f t="shared" si="3"/>
        <v>Após</v>
      </c>
      <c r="Q14" s="188">
        <f t="shared" si="4"/>
        <v>6378.1528639999997</v>
      </c>
      <c r="R14" s="145"/>
    </row>
    <row r="15" spans="1:18" x14ac:dyDescent="0.3">
      <c r="A15" s="180">
        <v>44837</v>
      </c>
      <c r="B15" s="189">
        <f t="shared" si="0"/>
        <v>6377.18</v>
      </c>
      <c r="C15" s="181">
        <v>-0.32</v>
      </c>
      <c r="D15" s="178">
        <f t="shared" si="1"/>
        <v>-1.5208171648506408E-2</v>
      </c>
      <c r="E15" s="179">
        <f t="shared" si="5"/>
        <v>0.99817025545988602</v>
      </c>
      <c r="F15" s="178">
        <f t="shared" si="2"/>
        <v>-0.18297445401139756</v>
      </c>
      <c r="G15" s="182">
        <f>WORKDAY(WORKDAY(DATEVALUE(CONCATENATE("15/"&amp;MONTH(EDATE($A15,-1))&amp;"/"&amp;YEAR(EDATE(A15,-1)))),-1,Feriados!$A$2:$A$1037),1,Feriados!$A$2:$A$1037)</f>
        <v>44819</v>
      </c>
      <c r="H15" s="183">
        <f>VLOOKUP(G15,$A$2:$B$76,2,FALSE)</f>
        <v>6388.87</v>
      </c>
      <c r="I15" s="184">
        <f>IF(P15="após","",NETWORKDAYS(G15,A15-1,Feriados!$A$2:$A$1037))</f>
        <v>12</v>
      </c>
      <c r="J15" s="184">
        <f>IF(P15="após","",NETWORKDAYS(G15,K15-1,Feriados!$A$2:$A$1037))</f>
        <v>21</v>
      </c>
      <c r="K15" s="177">
        <f>WORKDAY(WORKDAY(DATEVALUE(CONCATENATE("15/"&amp;MONTH(A15)&amp;"/"&amp;YEAR(A15))),-1,Feriados!$A$2:$A$1037),1,Feriados!$A$2:$A$1037)</f>
        <v>44851</v>
      </c>
      <c r="L15" s="183">
        <f t="shared" si="6"/>
        <v>6370.34</v>
      </c>
      <c r="M15" s="182">
        <f>WORKDAY(WORKDAY(DATEVALUE(CONCATENATE("15/"&amp;MONTH(EDATE(A15,1))&amp;"/"&amp;YEAR(EDATE(A15,1)))),-1,Feriados!$A$2:$A$1037),1,Feriados!$A$2:$A$1037)</f>
        <v>44881</v>
      </c>
      <c r="N15" s="186" t="str">
        <f>IF(P15="antes","",NETWORKDAYS(K15,A15-1,Feriados!$A$2:$A$1037))</f>
        <v/>
      </c>
      <c r="O15" s="186" t="str">
        <f>IF(P15="antes","",NETWORKDAYS(K15,M15-1,Feriados!$A$2:$A$1037))</f>
        <v/>
      </c>
      <c r="P15" s="172" t="str">
        <f t="shared" si="3"/>
        <v>Antes</v>
      </c>
      <c r="Q15" s="188">
        <f t="shared" si="4"/>
        <v>6377.1794710000004</v>
      </c>
      <c r="R15" s="145"/>
    </row>
    <row r="16" spans="1:18" x14ac:dyDescent="0.3">
      <c r="A16" s="180">
        <v>44838</v>
      </c>
      <c r="B16" s="189">
        <f t="shared" si="0"/>
        <v>6376.21</v>
      </c>
      <c r="C16" s="181">
        <v>-0.32</v>
      </c>
      <c r="D16" s="178">
        <f t="shared" si="1"/>
        <v>-1.5210484885175291E-2</v>
      </c>
      <c r="E16" s="179">
        <f t="shared" si="5"/>
        <v>0.99801842892405102</v>
      </c>
      <c r="F16" s="178">
        <f t="shared" si="2"/>
        <v>-0.19815710759489846</v>
      </c>
      <c r="G16" s="182">
        <f>WORKDAY(WORKDAY(DATEVALUE(CONCATENATE("15/"&amp;MONTH(EDATE($A16,-1))&amp;"/"&amp;YEAR(EDATE(A16,-1)))),-1,Feriados!$A$2:$A$1037),1,Feriados!$A$2:$A$1037)</f>
        <v>44819</v>
      </c>
      <c r="H16" s="183">
        <f t="shared" ref="H16:H76" si="7">VLOOKUP(G16,$A$2:$B$76,2,FALSE)</f>
        <v>6388.87</v>
      </c>
      <c r="I16" s="184">
        <f>IF(P16="após","",NETWORKDAYS(G16,A16-1,Feriados!$A$2:$A$1037))</f>
        <v>13</v>
      </c>
      <c r="J16" s="184">
        <f>IF(P16="após","",NETWORKDAYS(G16,K16-1,Feriados!$A$2:$A$1037))</f>
        <v>21</v>
      </c>
      <c r="K16" s="177">
        <f>WORKDAY(WORKDAY(DATEVALUE(CONCATENATE("15/"&amp;MONTH(A16)&amp;"/"&amp;YEAR(A16))),-1,Feriados!$A$2:$A$1037),1,Feriados!$A$2:$A$1037)</f>
        <v>44851</v>
      </c>
      <c r="L16" s="183">
        <f t="shared" si="6"/>
        <v>6370.34</v>
      </c>
      <c r="M16" s="182">
        <f>WORKDAY(WORKDAY(DATEVALUE(CONCATENATE("15/"&amp;MONTH(EDATE(A16,1))&amp;"/"&amp;YEAR(EDATE(A16,1)))),-1,Feriados!$A$2:$A$1037),1,Feriados!$A$2:$A$1037)</f>
        <v>44881</v>
      </c>
      <c r="N16" s="186" t="str">
        <f>IF(P16="antes","",NETWORKDAYS(K16,A16-1,Feriados!$A$2:$A$1037))</f>
        <v/>
      </c>
      <c r="O16" s="186" t="str">
        <f>IF(P16="antes","",NETWORKDAYS(K16,M16-1,Feriados!$A$2:$A$1037))</f>
        <v/>
      </c>
      <c r="P16" s="172" t="str">
        <f t="shared" si="3"/>
        <v>Antes</v>
      </c>
      <c r="Q16" s="188">
        <f t="shared" si="4"/>
        <v>6376.2062269999997</v>
      </c>
      <c r="R16" s="145"/>
    </row>
    <row r="17" spans="1:18" x14ac:dyDescent="0.3">
      <c r="A17" s="180">
        <v>44839</v>
      </c>
      <c r="B17" s="189">
        <f t="shared" si="0"/>
        <v>6375.23</v>
      </c>
      <c r="C17" s="181">
        <v>-0.32</v>
      </c>
      <c r="D17" s="178">
        <f t="shared" si="1"/>
        <v>-1.5369631803230366E-2</v>
      </c>
      <c r="E17" s="179">
        <f t="shared" si="5"/>
        <v>0.99786503716619701</v>
      </c>
      <c r="F17" s="178">
        <f t="shared" si="2"/>
        <v>-0.21349628338029891</v>
      </c>
      <c r="G17" s="182">
        <f>WORKDAY(WORKDAY(DATEVALUE(CONCATENATE("15/"&amp;MONTH(EDATE($A17,-1))&amp;"/"&amp;YEAR(EDATE(A17,-1)))),-1,Feriados!$A$2:$A$1037),1,Feriados!$A$2:$A$1037)</f>
        <v>44819</v>
      </c>
      <c r="H17" s="183">
        <f t="shared" si="7"/>
        <v>6388.87</v>
      </c>
      <c r="I17" s="184">
        <f>IF(P17="após","",NETWORKDAYS(G17,A17-1,Feriados!$A$2:$A$1037))</f>
        <v>14</v>
      </c>
      <c r="J17" s="184">
        <f>IF(P17="após","",NETWORKDAYS(G17,K17-1,Feriados!$A$2:$A$1037))</f>
        <v>21</v>
      </c>
      <c r="K17" s="177">
        <f>WORKDAY(WORKDAY(DATEVALUE(CONCATENATE("15/"&amp;MONTH(A17)&amp;"/"&amp;YEAR(A17))),-1,Feriados!$A$2:$A$1037),1,Feriados!$A$2:$A$1037)</f>
        <v>44851</v>
      </c>
      <c r="L17" s="183">
        <f t="shared" si="6"/>
        <v>6370.34</v>
      </c>
      <c r="M17" s="182">
        <f>WORKDAY(WORKDAY(DATEVALUE(CONCATENATE("15/"&amp;MONTH(EDATE(A17,1))&amp;"/"&amp;YEAR(EDATE(A17,1)))),-1,Feriados!$A$2:$A$1037),1,Feriados!$A$2:$A$1037)</f>
        <v>44881</v>
      </c>
      <c r="N17" s="186" t="str">
        <f>IF(P17="antes","",NETWORKDAYS(K17,A17-1,Feriados!$A$2:$A$1037))</f>
        <v/>
      </c>
      <c r="O17" s="186" t="str">
        <f>IF(P17="antes","",NETWORKDAYS(K17,M17-1,Feriados!$A$2:$A$1037))</f>
        <v/>
      </c>
      <c r="P17" s="172" t="str">
        <f t="shared" si="3"/>
        <v>Antes</v>
      </c>
      <c r="Q17" s="188">
        <f t="shared" si="4"/>
        <v>6375.233131</v>
      </c>
      <c r="R17" s="145"/>
    </row>
    <row r="18" spans="1:18" x14ac:dyDescent="0.3">
      <c r="A18" s="180">
        <v>44840</v>
      </c>
      <c r="B18" s="189">
        <f t="shared" si="0"/>
        <v>6374.26</v>
      </c>
      <c r="C18" s="181">
        <v>-0.32</v>
      </c>
      <c r="D18" s="178">
        <f t="shared" si="1"/>
        <v>-1.5215137336210827E-2</v>
      </c>
      <c r="E18" s="179">
        <f t="shared" si="5"/>
        <v>0.99771321063036211</v>
      </c>
      <c r="F18" s="178">
        <f t="shared" si="2"/>
        <v>-0.22867893696378871</v>
      </c>
      <c r="G18" s="182">
        <f>WORKDAY(WORKDAY(DATEVALUE(CONCATENATE("15/"&amp;MONTH(EDATE($A18,-1))&amp;"/"&amp;YEAR(EDATE(A18,-1)))),-1,Feriados!$A$2:$A$1037),1,Feriados!$A$2:$A$1037)</f>
        <v>44819</v>
      </c>
      <c r="H18" s="183">
        <f t="shared" si="7"/>
        <v>6388.87</v>
      </c>
      <c r="I18" s="184">
        <f>IF(P18="após","",NETWORKDAYS(G18,A18-1,Feriados!$A$2:$A$1037))</f>
        <v>15</v>
      </c>
      <c r="J18" s="184">
        <f>IF(P18="após","",NETWORKDAYS(G18,K18-1,Feriados!$A$2:$A$1037))</f>
        <v>21</v>
      </c>
      <c r="K18" s="177">
        <f>WORKDAY(WORKDAY(DATEVALUE(CONCATENATE("15/"&amp;MONTH(A18)&amp;"/"&amp;YEAR(A18))),-1,Feriados!$A$2:$A$1037),1,Feriados!$A$2:$A$1037)</f>
        <v>44851</v>
      </c>
      <c r="L18" s="183">
        <f t="shared" si="6"/>
        <v>6370.34</v>
      </c>
      <c r="M18" s="182">
        <f>WORKDAY(WORKDAY(DATEVALUE(CONCATENATE("15/"&amp;MONTH(EDATE(A18,1))&amp;"/"&amp;YEAR(EDATE(A18,1)))),-1,Feriados!$A$2:$A$1037),1,Feriados!$A$2:$A$1037)</f>
        <v>44881</v>
      </c>
      <c r="N18" s="186" t="str">
        <f>IF(P18="antes","",NETWORKDAYS(K18,A18-1,Feriados!$A$2:$A$1037))</f>
        <v/>
      </c>
      <c r="O18" s="186" t="str">
        <f>IF(P18="antes","",NETWORKDAYS(K18,M18-1,Feriados!$A$2:$A$1037))</f>
        <v/>
      </c>
      <c r="P18" s="172" t="str">
        <f t="shared" si="3"/>
        <v>Antes</v>
      </c>
      <c r="Q18" s="188">
        <f t="shared" si="4"/>
        <v>6374.2601830000003</v>
      </c>
      <c r="R18" s="145"/>
    </row>
    <row r="19" spans="1:18" x14ac:dyDescent="0.3">
      <c r="A19" s="180">
        <v>44841</v>
      </c>
      <c r="B19" s="189">
        <f t="shared" si="0"/>
        <v>6373.29</v>
      </c>
      <c r="C19" s="181">
        <v>-0.32</v>
      </c>
      <c r="D19" s="178">
        <f t="shared" si="1"/>
        <v>-1.5217452692550815E-2</v>
      </c>
      <c r="E19" s="179">
        <f t="shared" si="5"/>
        <v>0.9975613840945271</v>
      </c>
      <c r="F19" s="178">
        <f t="shared" si="2"/>
        <v>-0.24386159054728962</v>
      </c>
      <c r="G19" s="182">
        <f>WORKDAY(WORKDAY(DATEVALUE(CONCATENATE("15/"&amp;MONTH(EDATE($A19,-1))&amp;"/"&amp;YEAR(EDATE(A19,-1)))),-1,Feriados!$A$2:$A$1037),1,Feriados!$A$2:$A$1037)</f>
        <v>44819</v>
      </c>
      <c r="H19" s="183">
        <f t="shared" si="7"/>
        <v>6388.87</v>
      </c>
      <c r="I19" s="184">
        <f>IF(P19="após","",NETWORKDAYS(G19,A19-1,Feriados!$A$2:$A$1037))</f>
        <v>16</v>
      </c>
      <c r="J19" s="184">
        <f>IF(P19="após","",NETWORKDAYS(G19,K19-1,Feriados!$A$2:$A$1037))</f>
        <v>21</v>
      </c>
      <c r="K19" s="177">
        <f>WORKDAY(WORKDAY(DATEVALUE(CONCATENATE("15/"&amp;MONTH(A19)&amp;"/"&amp;YEAR(A19))),-1,Feriados!$A$2:$A$1037),1,Feriados!$A$2:$A$1037)</f>
        <v>44851</v>
      </c>
      <c r="L19" s="183">
        <f t="shared" si="6"/>
        <v>6370.34</v>
      </c>
      <c r="M19" s="182">
        <f>WORKDAY(WORKDAY(DATEVALUE(CONCATENATE("15/"&amp;MONTH(EDATE(A19,1))&amp;"/"&amp;YEAR(EDATE(A19,1)))),-1,Feriados!$A$2:$A$1037),1,Feriados!$A$2:$A$1037)</f>
        <v>44881</v>
      </c>
      <c r="N19" s="186" t="str">
        <f>IF(P19="antes","",NETWORKDAYS(K19,A19-1,Feriados!$A$2:$A$1037))</f>
        <v/>
      </c>
      <c r="O19" s="186" t="str">
        <f>IF(P19="antes","",NETWORKDAYS(K19,M19-1,Feriados!$A$2:$A$1037))</f>
        <v/>
      </c>
      <c r="P19" s="172" t="str">
        <f t="shared" si="3"/>
        <v>Antes</v>
      </c>
      <c r="Q19" s="188">
        <f t="shared" si="4"/>
        <v>6373.2873840000002</v>
      </c>
      <c r="R19" s="145"/>
    </row>
    <row r="20" spans="1:18" x14ac:dyDescent="0.3">
      <c r="A20" s="180">
        <v>44844</v>
      </c>
      <c r="B20" s="189">
        <f t="shared" si="0"/>
        <v>6372.31</v>
      </c>
      <c r="C20" s="181">
        <v>-0.32</v>
      </c>
      <c r="D20" s="178">
        <f t="shared" si="1"/>
        <v>-1.5376673586164902E-2</v>
      </c>
      <c r="E20" s="179">
        <f t="shared" si="5"/>
        <v>0.99740799233667321</v>
      </c>
      <c r="F20" s="178">
        <f t="shared" si="2"/>
        <v>-0.25920076633267897</v>
      </c>
      <c r="G20" s="182">
        <f>WORKDAY(WORKDAY(DATEVALUE(CONCATENATE("15/"&amp;MONTH(EDATE($A20,-1))&amp;"/"&amp;YEAR(EDATE(A20,-1)))),-1,Feriados!$A$2:$A$1037),1,Feriados!$A$2:$A$1037)</f>
        <v>44819</v>
      </c>
      <c r="H20" s="183">
        <f t="shared" si="7"/>
        <v>6388.87</v>
      </c>
      <c r="I20" s="184">
        <f>IF(P20="após","",NETWORKDAYS(G20,A20-1,Feriados!$A$2:$A$1037))</f>
        <v>17</v>
      </c>
      <c r="J20" s="184">
        <f>IF(P20="após","",NETWORKDAYS(G20,K20-1,Feriados!$A$2:$A$1037))</f>
        <v>21</v>
      </c>
      <c r="K20" s="177">
        <f>WORKDAY(WORKDAY(DATEVALUE(CONCATENATE("15/"&amp;MONTH(A20)&amp;"/"&amp;YEAR(A20))),-1,Feriados!$A$2:$A$1037),1,Feriados!$A$2:$A$1037)</f>
        <v>44851</v>
      </c>
      <c r="L20" s="183">
        <f t="shared" si="6"/>
        <v>6370.34</v>
      </c>
      <c r="M20" s="182">
        <f>WORKDAY(WORKDAY(DATEVALUE(CONCATENATE("15/"&amp;MONTH(EDATE(A20,1))&amp;"/"&amp;YEAR(EDATE(A20,1)))),-1,Feriados!$A$2:$A$1037),1,Feriados!$A$2:$A$1037)</f>
        <v>44881</v>
      </c>
      <c r="N20" s="186" t="str">
        <f>IF(P20="antes","",NETWORKDAYS(K20,A20-1,Feriados!$A$2:$A$1037))</f>
        <v/>
      </c>
      <c r="O20" s="186" t="str">
        <f>IF(P20="antes","",NETWORKDAYS(K20,M20-1,Feriados!$A$2:$A$1037))</f>
        <v/>
      </c>
      <c r="P20" s="172" t="str">
        <f t="shared" si="3"/>
        <v>Antes</v>
      </c>
      <c r="Q20" s="188">
        <f t="shared" si="4"/>
        <v>6372.3147339999996</v>
      </c>
      <c r="R20" s="145"/>
    </row>
    <row r="21" spans="1:18" x14ac:dyDescent="0.3">
      <c r="A21" s="180">
        <v>44845</v>
      </c>
      <c r="B21" s="189">
        <f t="shared" si="0"/>
        <v>6372.98</v>
      </c>
      <c r="C21" s="181">
        <v>-0.29003562660633309</v>
      </c>
      <c r="D21" s="178">
        <f t="shared" si="1"/>
        <v>1.0514240518721962E-2</v>
      </c>
      <c r="E21" s="179">
        <f t="shared" si="5"/>
        <v>0.99751286221194047</v>
      </c>
      <c r="F21" s="178">
        <f t="shared" si="2"/>
        <v>-0.24871377880595347</v>
      </c>
      <c r="G21" s="182">
        <f>WORKDAY(WORKDAY(DATEVALUE(CONCATENATE("15/"&amp;MONTH(EDATE($A21,-1))&amp;"/"&amp;YEAR(EDATE(A21,-1)))),-1,Feriados!$A$2:$A$1037),1,Feriados!$A$2:$A$1037)</f>
        <v>44819</v>
      </c>
      <c r="H21" s="183">
        <f t="shared" si="7"/>
        <v>6388.87</v>
      </c>
      <c r="I21" s="184">
        <f>IF(P21="após","",NETWORKDAYS(G21,A21-1,Feriados!$A$2:$A$1037))</f>
        <v>18</v>
      </c>
      <c r="J21" s="184">
        <f>IF(P21="após","",NETWORKDAYS(G21,K21-1,Feriados!$A$2:$A$1037))</f>
        <v>21</v>
      </c>
      <c r="K21" s="177">
        <f>WORKDAY(WORKDAY(DATEVALUE(CONCATENATE("15/"&amp;MONTH(A21)&amp;"/"&amp;YEAR(A21))),-1,Feriados!$A$2:$A$1037),1,Feriados!$A$2:$A$1037)</f>
        <v>44851</v>
      </c>
      <c r="L21" s="183">
        <f t="shared" si="6"/>
        <v>6370.34</v>
      </c>
      <c r="M21" s="182">
        <f>WORKDAY(WORKDAY(DATEVALUE(CONCATENATE("15/"&amp;MONTH(EDATE(A21,1))&amp;"/"&amp;YEAR(EDATE(A21,1)))),-1,Feriados!$A$2:$A$1037),1,Feriados!$A$2:$A$1037)</f>
        <v>44881</v>
      </c>
      <c r="N21" s="186" t="str">
        <f>IF(P21="antes","",NETWORKDAYS(K21,A21-1,Feriados!$A$2:$A$1037))</f>
        <v/>
      </c>
      <c r="O21" s="186" t="str">
        <f>IF(P21="antes","",NETWORKDAYS(K21,M21-1,Feriados!$A$2:$A$1037))</f>
        <v/>
      </c>
      <c r="P21" s="172" t="str">
        <f t="shared" si="3"/>
        <v>Antes</v>
      </c>
      <c r="Q21" s="188">
        <f t="shared" si="4"/>
        <v>6372.9838490000002</v>
      </c>
      <c r="R21" s="145"/>
    </row>
    <row r="22" spans="1:18" x14ac:dyDescent="0.3">
      <c r="A22" s="180">
        <v>44847</v>
      </c>
      <c r="B22" s="189">
        <f t="shared" si="0"/>
        <v>6372.1</v>
      </c>
      <c r="C22" s="181">
        <v>-0.29003562660633309</v>
      </c>
      <c r="D22" s="178">
        <f t="shared" si="1"/>
        <v>-1.3808296903472517E-2</v>
      </c>
      <c r="E22" s="179">
        <f t="shared" si="5"/>
        <v>0.99737512267427586</v>
      </c>
      <c r="F22" s="178">
        <f t="shared" si="2"/>
        <v>-0.26248773257241398</v>
      </c>
      <c r="G22" s="182">
        <f>WORKDAY(WORKDAY(DATEVALUE(CONCATENATE("15/"&amp;MONTH(EDATE($A22,-1))&amp;"/"&amp;YEAR(EDATE(A22,-1)))),-1,Feriados!$A$2:$A$1037),1,Feriados!$A$2:$A$1037)</f>
        <v>44819</v>
      </c>
      <c r="H22" s="183">
        <f t="shared" si="7"/>
        <v>6388.87</v>
      </c>
      <c r="I22" s="184">
        <f>IF(P22="após","",NETWORKDAYS(G22,A22-1,Feriados!$A$2:$A$1037))</f>
        <v>19</v>
      </c>
      <c r="J22" s="184">
        <f>IF(P22="após","",NETWORKDAYS(G22,K22-1,Feriados!$A$2:$A$1037))</f>
        <v>21</v>
      </c>
      <c r="K22" s="177">
        <f>WORKDAY(WORKDAY(DATEVALUE(CONCATENATE("15/"&amp;MONTH(A22)&amp;"/"&amp;YEAR(A22))),-1,Feriados!$A$2:$A$1037),1,Feriados!$A$2:$A$1037)</f>
        <v>44851</v>
      </c>
      <c r="L22" s="183">
        <f t="shared" si="6"/>
        <v>6370.34</v>
      </c>
      <c r="M22" s="182">
        <f>WORKDAY(WORKDAY(DATEVALUE(CONCATENATE("15/"&amp;MONTH(EDATE(A22,1))&amp;"/"&amp;YEAR(EDATE(A22,1)))),-1,Feriados!$A$2:$A$1037),1,Feriados!$A$2:$A$1037)</f>
        <v>44881</v>
      </c>
      <c r="N22" s="186" t="str">
        <f>IF(P22="antes","",NETWORKDAYS(K22,A22-1,Feriados!$A$2:$A$1037))</f>
        <v/>
      </c>
      <c r="O22" s="186" t="str">
        <f>IF(P22="antes","",NETWORKDAYS(K22,M22-1,Feriados!$A$2:$A$1037))</f>
        <v/>
      </c>
      <c r="P22" s="172" t="str">
        <f t="shared" si="3"/>
        <v>Antes</v>
      </c>
      <c r="Q22" s="188">
        <f t="shared" si="4"/>
        <v>6372.1024440000001</v>
      </c>
      <c r="R22" s="145"/>
    </row>
    <row r="23" spans="1:18" x14ac:dyDescent="0.3">
      <c r="A23" s="180">
        <v>44848</v>
      </c>
      <c r="B23" s="189">
        <f t="shared" si="0"/>
        <v>6371.22</v>
      </c>
      <c r="C23" s="181">
        <v>-0.29003562660633309</v>
      </c>
      <c r="D23" s="178">
        <f t="shared" si="1"/>
        <v>-1.3810203857445025E-2</v>
      </c>
      <c r="E23" s="179">
        <f t="shared" si="5"/>
        <v>0.99723738313661114</v>
      </c>
      <c r="F23" s="178">
        <f t="shared" si="2"/>
        <v>-0.27626168633888559</v>
      </c>
      <c r="G23" s="182">
        <f>WORKDAY(WORKDAY(DATEVALUE(CONCATENATE("15/"&amp;MONTH(EDATE($A23,-1))&amp;"/"&amp;YEAR(EDATE(A23,-1)))),-1,Feriados!$A$2:$A$1037),1,Feriados!$A$2:$A$1037)</f>
        <v>44819</v>
      </c>
      <c r="H23" s="183">
        <f t="shared" si="7"/>
        <v>6388.87</v>
      </c>
      <c r="I23" s="184">
        <f>IF(P23="após","",NETWORKDAYS(G23,A23-1,Feriados!$A$2:$A$1037))</f>
        <v>20</v>
      </c>
      <c r="J23" s="184">
        <f>IF(P23="após","",NETWORKDAYS(G23,K23-1,Feriados!$A$2:$A$1037))</f>
        <v>21</v>
      </c>
      <c r="K23" s="177">
        <f>WORKDAY(WORKDAY(DATEVALUE(CONCATENATE("15/"&amp;MONTH(A23)&amp;"/"&amp;YEAR(A23))),-1,Feriados!$A$2:$A$1037),1,Feriados!$A$2:$A$1037)</f>
        <v>44851</v>
      </c>
      <c r="L23" s="183">
        <f t="shared" si="6"/>
        <v>6370.34</v>
      </c>
      <c r="M23" s="182">
        <f>WORKDAY(WORKDAY(DATEVALUE(CONCATENATE("15/"&amp;MONTH(EDATE(A23,1))&amp;"/"&amp;YEAR(EDATE(A23,1)))),-1,Feriados!$A$2:$A$1037),1,Feriados!$A$2:$A$1037)</f>
        <v>44881</v>
      </c>
      <c r="N23" s="186" t="str">
        <f>IF(P23="antes","",NETWORKDAYS(K23,A23-1,Feriados!$A$2:$A$1037))</f>
        <v/>
      </c>
      <c r="O23" s="186" t="str">
        <f>IF(P23="antes","",NETWORKDAYS(K23,M23-1,Feriados!$A$2:$A$1037))</f>
        <v/>
      </c>
      <c r="P23" s="172" t="str">
        <f t="shared" si="3"/>
        <v>Antes</v>
      </c>
      <c r="Q23" s="188">
        <f t="shared" si="4"/>
        <v>6371.2211610000004</v>
      </c>
      <c r="R23" s="145"/>
    </row>
    <row r="24" spans="1:18" x14ac:dyDescent="0.3">
      <c r="A24" s="180">
        <v>44851</v>
      </c>
      <c r="B24" s="189">
        <f t="shared" si="0"/>
        <v>6370.34</v>
      </c>
      <c r="C24" s="181">
        <v>-0.29003562660633309</v>
      </c>
      <c r="D24" s="178">
        <f t="shared" si="1"/>
        <v>-1.3812111338173949E-2</v>
      </c>
      <c r="E24" s="179">
        <f t="shared" si="5"/>
        <v>0.99709964359894643</v>
      </c>
      <c r="F24" s="178">
        <f t="shared" si="2"/>
        <v>-0.29003564010535721</v>
      </c>
      <c r="G24" s="182">
        <f>WORKDAY(WORKDAY(DATEVALUE(CONCATENATE("15/"&amp;MONTH(EDATE($A24,-1))&amp;"/"&amp;YEAR(EDATE(A24,-1)))),-1,Feriados!$A$2:$A$1037),1,Feriados!$A$2:$A$1037)</f>
        <v>44819</v>
      </c>
      <c r="H24" s="183">
        <f t="shared" si="7"/>
        <v>6388.87</v>
      </c>
      <c r="I24" s="184">
        <f>IF(P24="após","",NETWORKDAYS(G24,A24-1,Feriados!$A$2:$A$1037))</f>
        <v>21</v>
      </c>
      <c r="J24" s="184">
        <f>IF(P24="após","",NETWORKDAYS(G24,K24-1,Feriados!$A$2:$A$1037))</f>
        <v>21</v>
      </c>
      <c r="K24" s="177">
        <f>WORKDAY(WORKDAY(DATEVALUE(CONCATENATE("15/"&amp;MONTH(A24)&amp;"/"&amp;YEAR(A24))),-1,Feriados!$A$2:$A$1037),1,Feriados!$A$2:$A$1037)</f>
        <v>44851</v>
      </c>
      <c r="L24" s="183">
        <f t="shared" si="6"/>
        <v>6370.34</v>
      </c>
      <c r="M24" s="182">
        <f>WORKDAY(WORKDAY(DATEVALUE(CONCATENATE("15/"&amp;MONTH(EDATE(A24,1))&amp;"/"&amp;YEAR(EDATE(A24,1)))),-1,Feriados!$A$2:$A$1037),1,Feriados!$A$2:$A$1037)</f>
        <v>44881</v>
      </c>
      <c r="N24" s="186" t="str">
        <f>IF(P24="antes","",NETWORKDAYS(K24,A24-1,Feriados!$A$2:$A$1037))</f>
        <v/>
      </c>
      <c r="O24" s="186" t="str">
        <f>IF(P24="antes","",NETWORKDAYS(K24,M24-1,Feriados!$A$2:$A$1037))</f>
        <v/>
      </c>
      <c r="P24" s="172" t="str">
        <f t="shared" si="3"/>
        <v>Antes</v>
      </c>
      <c r="Q24" s="188">
        <f t="shared" si="4"/>
        <v>6370.34</v>
      </c>
      <c r="R24" s="145"/>
    </row>
    <row r="25" spans="1:18" x14ac:dyDescent="0.3">
      <c r="A25" s="180">
        <v>44852</v>
      </c>
      <c r="B25" s="189">
        <f t="shared" si="0"/>
        <v>6369.41</v>
      </c>
      <c r="C25" s="181">
        <f>+C24</f>
        <v>-0.29003562660633309</v>
      </c>
      <c r="D25" s="178">
        <f t="shared" si="1"/>
        <v>-1.4598906808749312E-2</v>
      </c>
      <c r="E25" s="179">
        <f t="shared" si="5"/>
        <v>0.99695407795118707</v>
      </c>
      <c r="F25" s="178">
        <f t="shared" si="2"/>
        <v>-0.30459220488129324</v>
      </c>
      <c r="G25" s="182">
        <f>WORKDAY(WORKDAY(DATEVALUE(CONCATENATE("15/"&amp;MONTH(EDATE($A25,-1))&amp;"/"&amp;YEAR(EDATE(A25,-1)))),-1,Feriados!$A$2:$A$1037),1,Feriados!$A$2:$A$1037)</f>
        <v>44819</v>
      </c>
      <c r="H25" s="183">
        <f t="shared" si="7"/>
        <v>6388.87</v>
      </c>
      <c r="I25" s="184" t="str">
        <f>IF(P25="após","",NETWORKDAYS(G25,A25-1,Feriados!$A$2:$A$1037))</f>
        <v/>
      </c>
      <c r="J25" s="184" t="str">
        <f>IF(P25="após","",NETWORKDAYS(G25,K25-1,Feriados!$A$2:$A$1037))</f>
        <v/>
      </c>
      <c r="K25" s="177">
        <f>WORKDAY(WORKDAY(DATEVALUE(CONCATENATE("15/"&amp;MONTH(A25)&amp;"/"&amp;YEAR(A25))),-1,Feriados!$A$2:$A$1037),1,Feriados!$A$2:$A$1037)</f>
        <v>44851</v>
      </c>
      <c r="L25" s="183">
        <f t="shared" si="6"/>
        <v>6370.34</v>
      </c>
      <c r="M25" s="182">
        <f>WORKDAY(WORKDAY(DATEVALUE(CONCATENATE("15/"&amp;MONTH(EDATE(A25,1))&amp;"/"&amp;YEAR(EDATE(A25,1)))),-1,Feriados!$A$2:$A$1037),1,Feriados!$A$2:$A$1037)</f>
        <v>44881</v>
      </c>
      <c r="N25" s="186">
        <f>IF(P25="antes","",NETWORKDAYS(K25,A25-1,Feriados!$A$2:$A$1037))</f>
        <v>1</v>
      </c>
      <c r="O25" s="186">
        <f>IF(P25="antes","",NETWORKDAYS(K25,M25-1,Feriados!$A$2:$A$1037))</f>
        <v>20</v>
      </c>
      <c r="P25" s="172" t="str">
        <f t="shared" si="3"/>
        <v>Após</v>
      </c>
      <c r="Q25" s="188">
        <f t="shared" si="4"/>
        <v>6369.4149120000002</v>
      </c>
      <c r="R25" s="145"/>
    </row>
    <row r="26" spans="1:18" x14ac:dyDescent="0.3">
      <c r="A26" s="180">
        <v>44853</v>
      </c>
      <c r="B26" s="189">
        <f t="shared" si="0"/>
        <v>6368.49</v>
      </c>
      <c r="C26" s="181">
        <f t="shared" ref="C26:C76" si="8">+C25</f>
        <v>-0.29003562660633309</v>
      </c>
      <c r="D26" s="178">
        <f t="shared" si="1"/>
        <v>-1.4444037987826341E-2</v>
      </c>
      <c r="E26" s="179">
        <f t="shared" si="5"/>
        <v>0.99681007752544659</v>
      </c>
      <c r="F26" s="178">
        <f t="shared" si="2"/>
        <v>-0.31899224745534083</v>
      </c>
      <c r="G26" s="182">
        <f>WORKDAY(WORKDAY(DATEVALUE(CONCATENATE("15/"&amp;MONTH(EDATE($A26,-1))&amp;"/"&amp;YEAR(EDATE(A26,-1)))),-1,Feriados!$A$2:$A$1037),1,Feriados!$A$2:$A$1037)</f>
        <v>44819</v>
      </c>
      <c r="H26" s="183">
        <f t="shared" si="7"/>
        <v>6388.87</v>
      </c>
      <c r="I26" s="184" t="str">
        <f>IF(P26="após","",NETWORKDAYS(G26,A26-1,Feriados!$A$2:$A$1037))</f>
        <v/>
      </c>
      <c r="J26" s="184" t="str">
        <f>IF(P26="após","",NETWORKDAYS(G26,K26-1,Feriados!$A$2:$A$1037))</f>
        <v/>
      </c>
      <c r="K26" s="177">
        <f>WORKDAY(WORKDAY(DATEVALUE(CONCATENATE("15/"&amp;MONTH(A26)&amp;"/"&amp;YEAR(A26))),-1,Feriados!$A$2:$A$1037),1,Feriados!$A$2:$A$1037)</f>
        <v>44851</v>
      </c>
      <c r="L26" s="183">
        <f t="shared" si="6"/>
        <v>6370.34</v>
      </c>
      <c r="M26" s="182">
        <f>WORKDAY(WORKDAY(DATEVALUE(CONCATENATE("15/"&amp;MONTH(EDATE(A26,1))&amp;"/"&amp;YEAR(EDATE(A26,1)))),-1,Feriados!$A$2:$A$1037),1,Feriados!$A$2:$A$1037)</f>
        <v>44881</v>
      </c>
      <c r="N26" s="186">
        <f>IF(P26="antes","",NETWORKDAYS(K26,A26-1,Feriados!$A$2:$A$1037))</f>
        <v>2</v>
      </c>
      <c r="O26" s="186">
        <f>IF(P26="antes","",NETWORKDAYS(K26,M26-1,Feriados!$A$2:$A$1037))</f>
        <v>20</v>
      </c>
      <c r="P26" s="172" t="str">
        <f t="shared" si="3"/>
        <v>Após</v>
      </c>
      <c r="Q26" s="188">
        <f t="shared" si="4"/>
        <v>6368.4899580000001</v>
      </c>
      <c r="R26" s="145"/>
    </row>
    <row r="27" spans="1:18" x14ac:dyDescent="0.3">
      <c r="A27" s="180">
        <v>44854</v>
      </c>
      <c r="B27" s="189">
        <f t="shared" si="0"/>
        <v>6367.57</v>
      </c>
      <c r="C27" s="181">
        <f t="shared" si="8"/>
        <v>-0.29003562660633309</v>
      </c>
      <c r="D27" s="178">
        <f t="shared" si="1"/>
        <v>-1.4446124591549481E-2</v>
      </c>
      <c r="E27" s="179">
        <f t="shared" si="5"/>
        <v>0.99666607709970612</v>
      </c>
      <c r="F27" s="178">
        <f t="shared" si="2"/>
        <v>-0.33339229002938842</v>
      </c>
      <c r="G27" s="182">
        <f>WORKDAY(WORKDAY(DATEVALUE(CONCATENATE("15/"&amp;MONTH(EDATE($A27,-1))&amp;"/"&amp;YEAR(EDATE(A27,-1)))),-1,Feriados!$A$2:$A$1037),1,Feriados!$A$2:$A$1037)</f>
        <v>44819</v>
      </c>
      <c r="H27" s="183">
        <f t="shared" si="7"/>
        <v>6388.87</v>
      </c>
      <c r="I27" s="184" t="str">
        <f>IF(P27="após","",NETWORKDAYS(G27,A27-1,Feriados!$A$2:$A$1037))</f>
        <v/>
      </c>
      <c r="J27" s="184" t="str">
        <f>IF(P27="após","",NETWORKDAYS(G27,K27-1,Feriados!$A$2:$A$1037))</f>
        <v/>
      </c>
      <c r="K27" s="177">
        <f>WORKDAY(WORKDAY(DATEVALUE(CONCATENATE("15/"&amp;MONTH(A27)&amp;"/"&amp;YEAR(A27))),-1,Feriados!$A$2:$A$1037),1,Feriados!$A$2:$A$1037)</f>
        <v>44851</v>
      </c>
      <c r="L27" s="183">
        <f t="shared" si="6"/>
        <v>6370.34</v>
      </c>
      <c r="M27" s="182">
        <f>WORKDAY(WORKDAY(DATEVALUE(CONCATENATE("15/"&amp;MONTH(EDATE(A27,1))&amp;"/"&amp;YEAR(EDATE(A27,1)))),-1,Feriados!$A$2:$A$1037),1,Feriados!$A$2:$A$1037)</f>
        <v>44881</v>
      </c>
      <c r="N27" s="186">
        <f>IF(P27="antes","",NETWORKDAYS(K27,A27-1,Feriados!$A$2:$A$1037))</f>
        <v>3</v>
      </c>
      <c r="O27" s="186">
        <f>IF(P27="antes","",NETWORKDAYS(K27,M27-1,Feriados!$A$2:$A$1037))</f>
        <v>20</v>
      </c>
      <c r="P27" s="172" t="str">
        <f t="shared" si="3"/>
        <v>Após</v>
      </c>
      <c r="Q27" s="188">
        <f t="shared" si="4"/>
        <v>6367.5651390000003</v>
      </c>
      <c r="R27" s="145"/>
    </row>
    <row r="28" spans="1:18" x14ac:dyDescent="0.3">
      <c r="A28" s="180">
        <v>44855</v>
      </c>
      <c r="B28" s="189">
        <f t="shared" si="0"/>
        <v>6366.64</v>
      </c>
      <c r="C28" s="181">
        <f t="shared" si="8"/>
        <v>-0.29003562660633309</v>
      </c>
      <c r="D28" s="178">
        <f t="shared" si="1"/>
        <v>-1.4605257578625963E-2</v>
      </c>
      <c r="E28" s="179">
        <f t="shared" si="5"/>
        <v>0.99652051145194687</v>
      </c>
      <c r="F28" s="178">
        <f t="shared" si="2"/>
        <v>-0.34794885480531335</v>
      </c>
      <c r="G28" s="182">
        <f>WORKDAY(WORKDAY(DATEVALUE(CONCATENATE("15/"&amp;MONTH(EDATE($A28,-1))&amp;"/"&amp;YEAR(EDATE(A28,-1)))),-1,Feriados!$A$2:$A$1037),1,Feriados!$A$2:$A$1037)</f>
        <v>44819</v>
      </c>
      <c r="H28" s="183">
        <f t="shared" si="7"/>
        <v>6388.87</v>
      </c>
      <c r="I28" s="184" t="str">
        <f>IF(P28="após","",NETWORKDAYS(G28,A28-1,Feriados!$A$2:$A$1037))</f>
        <v/>
      </c>
      <c r="J28" s="184" t="str">
        <f>IF(P28="após","",NETWORKDAYS(G28,K28-1,Feriados!$A$2:$A$1037))</f>
        <v/>
      </c>
      <c r="K28" s="177">
        <f>WORKDAY(WORKDAY(DATEVALUE(CONCATENATE("15/"&amp;MONTH(A28)&amp;"/"&amp;YEAR(A28))),-1,Feriados!$A$2:$A$1037),1,Feriados!$A$2:$A$1037)</f>
        <v>44851</v>
      </c>
      <c r="L28" s="183">
        <f t="shared" si="6"/>
        <v>6370.34</v>
      </c>
      <c r="M28" s="182">
        <f>WORKDAY(WORKDAY(DATEVALUE(CONCATENATE("15/"&amp;MONTH(EDATE(A28,1))&amp;"/"&amp;YEAR(EDATE(A28,1)))),-1,Feriados!$A$2:$A$1037),1,Feriados!$A$2:$A$1037)</f>
        <v>44881</v>
      </c>
      <c r="N28" s="186">
        <f>IF(P28="antes","",NETWORKDAYS(K28,A28-1,Feriados!$A$2:$A$1037))</f>
        <v>4</v>
      </c>
      <c r="O28" s="186">
        <f>IF(P28="antes","",NETWORKDAYS(K28,M28-1,Feriados!$A$2:$A$1037))</f>
        <v>20</v>
      </c>
      <c r="P28" s="172" t="str">
        <f t="shared" si="3"/>
        <v>Após</v>
      </c>
      <c r="Q28" s="188">
        <f t="shared" si="4"/>
        <v>6366.6404540000003</v>
      </c>
      <c r="R28" s="145"/>
    </row>
    <row r="29" spans="1:18" x14ac:dyDescent="0.3">
      <c r="A29" s="180">
        <v>44858</v>
      </c>
      <c r="B29" s="189">
        <f t="shared" si="0"/>
        <v>6365.72</v>
      </c>
      <c r="C29" s="181">
        <f t="shared" si="8"/>
        <v>-0.29003562660633309</v>
      </c>
      <c r="D29" s="178">
        <f t="shared" si="1"/>
        <v>-1.4450322305015195E-2</v>
      </c>
      <c r="E29" s="179">
        <f t="shared" si="5"/>
        <v>0.9963765110262065</v>
      </c>
      <c r="F29" s="178">
        <f t="shared" si="2"/>
        <v>-0.36234889737934983</v>
      </c>
      <c r="G29" s="182">
        <f>WORKDAY(WORKDAY(DATEVALUE(CONCATENATE("15/"&amp;MONTH(EDATE($A29,-1))&amp;"/"&amp;YEAR(EDATE(A29,-1)))),-1,Feriados!$A$2:$A$1037),1,Feriados!$A$2:$A$1037)</f>
        <v>44819</v>
      </c>
      <c r="H29" s="183">
        <f t="shared" si="7"/>
        <v>6388.87</v>
      </c>
      <c r="I29" s="184" t="str">
        <f>IF(P29="após","",NETWORKDAYS(G29,A29-1,Feriados!$A$2:$A$1037))</f>
        <v/>
      </c>
      <c r="J29" s="184" t="str">
        <f>IF(P29="após","",NETWORKDAYS(G29,K29-1,Feriados!$A$2:$A$1037))</f>
        <v/>
      </c>
      <c r="K29" s="177">
        <f>WORKDAY(WORKDAY(DATEVALUE(CONCATENATE("15/"&amp;MONTH(A29)&amp;"/"&amp;YEAR(A29))),-1,Feriados!$A$2:$A$1037),1,Feriados!$A$2:$A$1037)</f>
        <v>44851</v>
      </c>
      <c r="L29" s="183">
        <f t="shared" si="6"/>
        <v>6370.34</v>
      </c>
      <c r="M29" s="182">
        <f>WORKDAY(WORKDAY(DATEVALUE(CONCATENATE("15/"&amp;MONTH(EDATE(A29,1))&amp;"/"&amp;YEAR(EDATE(A29,1)))),-1,Feriados!$A$2:$A$1037),1,Feriados!$A$2:$A$1037)</f>
        <v>44881</v>
      </c>
      <c r="N29" s="186">
        <f>IF(P29="antes","",NETWORKDAYS(K29,A29-1,Feriados!$A$2:$A$1037))</f>
        <v>5</v>
      </c>
      <c r="O29" s="186">
        <f>IF(P29="antes","",NETWORKDAYS(K29,M29-1,Feriados!$A$2:$A$1037))</f>
        <v>20</v>
      </c>
      <c r="P29" s="172" t="str">
        <f t="shared" si="3"/>
        <v>Após</v>
      </c>
      <c r="Q29" s="188">
        <f t="shared" si="4"/>
        <v>6365.7159030000003</v>
      </c>
      <c r="R29" s="145"/>
    </row>
    <row r="30" spans="1:18" x14ac:dyDescent="0.3">
      <c r="A30" s="180">
        <v>44859</v>
      </c>
      <c r="B30" s="189">
        <f t="shared" si="0"/>
        <v>6364.79</v>
      </c>
      <c r="C30" s="181">
        <f t="shared" si="8"/>
        <v>-0.29003562660633309</v>
      </c>
      <c r="D30" s="178">
        <f t="shared" si="1"/>
        <v>-1.4609502145868092E-2</v>
      </c>
      <c r="E30" s="179">
        <f t="shared" si="5"/>
        <v>0.99623094537844725</v>
      </c>
      <c r="F30" s="178">
        <f t="shared" si="2"/>
        <v>-0.37690546215527476</v>
      </c>
      <c r="G30" s="182">
        <f>WORKDAY(WORKDAY(DATEVALUE(CONCATENATE("15/"&amp;MONTH(EDATE($A30,-1))&amp;"/"&amp;YEAR(EDATE(A30,-1)))),-1,Feriados!$A$2:$A$1037),1,Feriados!$A$2:$A$1037)</f>
        <v>44819</v>
      </c>
      <c r="H30" s="183">
        <f t="shared" si="7"/>
        <v>6388.87</v>
      </c>
      <c r="I30" s="184" t="str">
        <f>IF(P30="após","",NETWORKDAYS(G30,A30-1,Feriados!$A$2:$A$1037))</f>
        <v/>
      </c>
      <c r="J30" s="184" t="str">
        <f>IF(P30="após","",NETWORKDAYS(G30,K30-1,Feriados!$A$2:$A$1037))</f>
        <v/>
      </c>
      <c r="K30" s="177">
        <f>WORKDAY(WORKDAY(DATEVALUE(CONCATENATE("15/"&amp;MONTH(A30)&amp;"/"&amp;YEAR(A30))),-1,Feriados!$A$2:$A$1037),1,Feriados!$A$2:$A$1037)</f>
        <v>44851</v>
      </c>
      <c r="L30" s="183">
        <f t="shared" si="6"/>
        <v>6370.34</v>
      </c>
      <c r="M30" s="182">
        <f>WORKDAY(WORKDAY(DATEVALUE(CONCATENATE("15/"&amp;MONTH(EDATE(A30,1))&amp;"/"&amp;YEAR(EDATE(A30,1)))),-1,Feriados!$A$2:$A$1037),1,Feriados!$A$2:$A$1037)</f>
        <v>44881</v>
      </c>
      <c r="N30" s="186">
        <f>IF(P30="antes","",NETWORKDAYS(K30,A30-1,Feriados!$A$2:$A$1037))</f>
        <v>6</v>
      </c>
      <c r="O30" s="186">
        <f>IF(P30="antes","",NETWORKDAYS(K30,M30-1,Feriados!$A$2:$A$1037))</f>
        <v>20</v>
      </c>
      <c r="P30" s="172" t="str">
        <f t="shared" si="3"/>
        <v>Após</v>
      </c>
      <c r="Q30" s="188">
        <f t="shared" si="4"/>
        <v>6364.7914870000004</v>
      </c>
      <c r="R30" s="145"/>
    </row>
    <row r="31" spans="1:18" x14ac:dyDescent="0.3">
      <c r="A31" s="180">
        <v>44860</v>
      </c>
      <c r="B31" s="189">
        <f t="shared" si="0"/>
        <v>6363.87</v>
      </c>
      <c r="C31" s="181">
        <f t="shared" si="8"/>
        <v>-0.29003562660633309</v>
      </c>
      <c r="D31" s="178">
        <f t="shared" si="1"/>
        <v>-1.4454522458717811E-2</v>
      </c>
      <c r="E31" s="179">
        <f t="shared" si="5"/>
        <v>0.99608694495270678</v>
      </c>
      <c r="F31" s="178">
        <f t="shared" si="2"/>
        <v>-0.39130550472932235</v>
      </c>
      <c r="G31" s="182">
        <f>WORKDAY(WORKDAY(DATEVALUE(CONCATENATE("15/"&amp;MONTH(EDATE($A31,-1))&amp;"/"&amp;YEAR(EDATE(A31,-1)))),-1,Feriados!$A$2:$A$1037),1,Feriados!$A$2:$A$1037)</f>
        <v>44819</v>
      </c>
      <c r="H31" s="183">
        <f t="shared" si="7"/>
        <v>6388.87</v>
      </c>
      <c r="I31" s="184" t="str">
        <f>IF(P31="após","",NETWORKDAYS(G31,A31-1,Feriados!$A$2:$A$1037))</f>
        <v/>
      </c>
      <c r="J31" s="184" t="str">
        <f>IF(P31="após","",NETWORKDAYS(G31,K31-1,Feriados!$A$2:$A$1037))</f>
        <v/>
      </c>
      <c r="K31" s="177">
        <f>WORKDAY(WORKDAY(DATEVALUE(CONCATENATE("15/"&amp;MONTH(A31)&amp;"/"&amp;YEAR(A31))),-1,Feriados!$A$2:$A$1037),1,Feriados!$A$2:$A$1037)</f>
        <v>44851</v>
      </c>
      <c r="L31" s="183">
        <f t="shared" si="6"/>
        <v>6370.34</v>
      </c>
      <c r="M31" s="182">
        <f>WORKDAY(WORKDAY(DATEVALUE(CONCATENATE("15/"&amp;MONTH(EDATE(A31,1))&amp;"/"&amp;YEAR(EDATE(A31,1)))),-1,Feriados!$A$2:$A$1037),1,Feriados!$A$2:$A$1037)</f>
        <v>44881</v>
      </c>
      <c r="N31" s="186">
        <f>IF(P31="antes","",NETWORKDAYS(K31,A31-1,Feriados!$A$2:$A$1037))</f>
        <v>7</v>
      </c>
      <c r="O31" s="186">
        <f>IF(P31="antes","",NETWORKDAYS(K31,M31-1,Feriados!$A$2:$A$1037))</f>
        <v>20</v>
      </c>
      <c r="P31" s="172" t="str">
        <f t="shared" si="3"/>
        <v>Após</v>
      </c>
      <c r="Q31" s="188">
        <f t="shared" si="4"/>
        <v>6363.8672049999996</v>
      </c>
      <c r="R31" s="145"/>
    </row>
    <row r="32" spans="1:18" x14ac:dyDescent="0.3">
      <c r="A32" s="180">
        <v>44861</v>
      </c>
      <c r="B32" s="189">
        <f t="shared" si="0"/>
        <v>6362.94</v>
      </c>
      <c r="C32" s="181">
        <f t="shared" si="8"/>
        <v>-0.29003562660633309</v>
      </c>
      <c r="D32" s="178">
        <f t="shared" si="1"/>
        <v>-1.4613749180925062E-2</v>
      </c>
      <c r="E32" s="179">
        <f t="shared" si="5"/>
        <v>0.99594137930494742</v>
      </c>
      <c r="F32" s="178">
        <f t="shared" si="2"/>
        <v>-0.40586206950525838</v>
      </c>
      <c r="G32" s="182">
        <f>WORKDAY(WORKDAY(DATEVALUE(CONCATENATE("15/"&amp;MONTH(EDATE($A32,-1))&amp;"/"&amp;YEAR(EDATE(A32,-1)))),-1,Feriados!$A$2:$A$1037),1,Feriados!$A$2:$A$1037)</f>
        <v>44819</v>
      </c>
      <c r="H32" s="183">
        <f t="shared" si="7"/>
        <v>6388.87</v>
      </c>
      <c r="I32" s="184" t="str">
        <f>IF(P32="após","",NETWORKDAYS(G32,A32-1,Feriados!$A$2:$A$1037))</f>
        <v/>
      </c>
      <c r="J32" s="184" t="str">
        <f>IF(P32="após","",NETWORKDAYS(G32,K32-1,Feriados!$A$2:$A$1037))</f>
        <v/>
      </c>
      <c r="K32" s="177">
        <f>WORKDAY(WORKDAY(DATEVALUE(CONCATENATE("15/"&amp;MONTH(A32)&amp;"/"&amp;YEAR(A32))),-1,Feriados!$A$2:$A$1037),1,Feriados!$A$2:$A$1037)</f>
        <v>44851</v>
      </c>
      <c r="L32" s="183">
        <f t="shared" si="6"/>
        <v>6370.34</v>
      </c>
      <c r="M32" s="182">
        <f>WORKDAY(WORKDAY(DATEVALUE(CONCATENATE("15/"&amp;MONTH(EDATE(A32,1))&amp;"/"&amp;YEAR(EDATE(A32,1)))),-1,Feriados!$A$2:$A$1037),1,Feriados!$A$2:$A$1037)</f>
        <v>44881</v>
      </c>
      <c r="N32" s="186">
        <f>IF(P32="antes","",NETWORKDAYS(K32,A32-1,Feriados!$A$2:$A$1037))</f>
        <v>8</v>
      </c>
      <c r="O32" s="186">
        <f>IF(P32="antes","",NETWORKDAYS(K32,M32-1,Feriados!$A$2:$A$1037))</f>
        <v>20</v>
      </c>
      <c r="P32" s="172" t="str">
        <f t="shared" si="3"/>
        <v>Após</v>
      </c>
      <c r="Q32" s="188">
        <f t="shared" si="4"/>
        <v>6362.9430570000004</v>
      </c>
      <c r="R32" s="145"/>
    </row>
    <row r="33" spans="1:18" x14ac:dyDescent="0.3">
      <c r="A33" s="180">
        <v>44862</v>
      </c>
      <c r="B33" s="189">
        <f t="shared" si="0"/>
        <v>6398.93</v>
      </c>
      <c r="C33" s="181">
        <v>1</v>
      </c>
      <c r="D33" s="178">
        <f t="shared" si="1"/>
        <v>0.56561903774041689</v>
      </c>
      <c r="E33" s="179">
        <f t="shared" si="5"/>
        <v>1.0015746133510306</v>
      </c>
      <c r="F33" s="178">
        <f t="shared" si="2"/>
        <v>0.1574613351030596</v>
      </c>
      <c r="G33" s="182">
        <f>WORKDAY(WORKDAY(DATEVALUE(CONCATENATE("15/"&amp;MONTH(EDATE($A33,-1))&amp;"/"&amp;YEAR(EDATE(A33,-1)))),-1,Feriados!$A$2:$A$1037),1,Feriados!$A$2:$A$1037)</f>
        <v>44819</v>
      </c>
      <c r="H33" s="183">
        <f t="shared" si="7"/>
        <v>6388.87</v>
      </c>
      <c r="I33" s="184" t="str">
        <f>IF(P33="após","",NETWORKDAYS(G33,A33-1,Feriados!$A$2:$A$1037))</f>
        <v/>
      </c>
      <c r="J33" s="184" t="str">
        <f>IF(P33="após","",NETWORKDAYS(G33,K33-1,Feriados!$A$2:$A$1037))</f>
        <v/>
      </c>
      <c r="K33" s="177">
        <f>WORKDAY(WORKDAY(DATEVALUE(CONCATENATE("15/"&amp;MONTH(A33)&amp;"/"&amp;YEAR(A33))),-1,Feriados!$A$2:$A$1037),1,Feriados!$A$2:$A$1037)</f>
        <v>44851</v>
      </c>
      <c r="L33" s="183">
        <f t="shared" si="6"/>
        <v>6370.34</v>
      </c>
      <c r="M33" s="182">
        <f>WORKDAY(WORKDAY(DATEVALUE(CONCATENATE("15/"&amp;MONTH(EDATE(A33,1))&amp;"/"&amp;YEAR(EDATE(A33,1)))),-1,Feriados!$A$2:$A$1037),1,Feriados!$A$2:$A$1037)</f>
        <v>44881</v>
      </c>
      <c r="N33" s="186">
        <f>IF(P33="antes","",NETWORKDAYS(K33,A33-1,Feriados!$A$2:$A$1037))</f>
        <v>9</v>
      </c>
      <c r="O33" s="186">
        <f>IF(P33="antes","",NETWORKDAYS(K33,M33-1,Feriados!$A$2:$A$1037))</f>
        <v>20</v>
      </c>
      <c r="P33" s="172" t="str">
        <f t="shared" si="3"/>
        <v>Após</v>
      </c>
      <c r="Q33" s="188">
        <f t="shared" si="4"/>
        <v>6398.9281010000004</v>
      </c>
      <c r="R33" s="145"/>
    </row>
    <row r="34" spans="1:18" x14ac:dyDescent="0.3">
      <c r="A34" s="180">
        <v>44865</v>
      </c>
      <c r="B34" s="189">
        <f t="shared" si="0"/>
        <v>6406.86</v>
      </c>
      <c r="C34" s="181">
        <v>1.1499999999999999</v>
      </c>
      <c r="D34" s="178">
        <f t="shared" si="1"/>
        <v>0.12392696904013345</v>
      </c>
      <c r="E34" s="179">
        <f t="shared" si="5"/>
        <v>1.0028158344120319</v>
      </c>
      <c r="F34" s="178">
        <f t="shared" si="2"/>
        <v>0.28158344120319256</v>
      </c>
      <c r="G34" s="182">
        <f>WORKDAY(WORKDAY(DATEVALUE(CONCATENATE("15/"&amp;MONTH(EDATE($A34,-1))&amp;"/"&amp;YEAR(EDATE(A34,-1)))),-1,Feriados!$A$2:$A$1037),1,Feriados!$A$2:$A$1037)</f>
        <v>44819</v>
      </c>
      <c r="H34" s="183">
        <f t="shared" si="7"/>
        <v>6388.87</v>
      </c>
      <c r="I34" s="184" t="str">
        <f>IF(P34="após","",NETWORKDAYS(G34,A34-1,Feriados!$A$2:$A$1037))</f>
        <v/>
      </c>
      <c r="J34" s="184" t="str">
        <f>IF(P34="após","",NETWORKDAYS(G34,K34-1,Feriados!$A$2:$A$1037))</f>
        <v/>
      </c>
      <c r="K34" s="177">
        <f>WORKDAY(WORKDAY(DATEVALUE(CONCATENATE("15/"&amp;MONTH(A34)&amp;"/"&amp;YEAR(A34))),-1,Feriados!$A$2:$A$1037),1,Feriados!$A$2:$A$1037)</f>
        <v>44851</v>
      </c>
      <c r="L34" s="183">
        <f t="shared" si="6"/>
        <v>6370.34</v>
      </c>
      <c r="M34" s="182">
        <f>WORKDAY(WORKDAY(DATEVALUE(CONCATENATE("15/"&amp;MONTH(EDATE(A34,1))&amp;"/"&amp;YEAR(EDATE(A34,1)))),-1,Feriados!$A$2:$A$1037),1,Feriados!$A$2:$A$1037)</f>
        <v>44881</v>
      </c>
      <c r="N34" s="186">
        <f>IF(P34="antes","",NETWORKDAYS(K34,A34-1,Feriados!$A$2:$A$1037))</f>
        <v>10</v>
      </c>
      <c r="O34" s="186">
        <f>IF(P34="antes","",NETWORKDAYS(K34,M34-1,Feriados!$A$2:$A$1037))</f>
        <v>20</v>
      </c>
      <c r="P34" s="172" t="str">
        <f t="shared" si="3"/>
        <v>Após</v>
      </c>
      <c r="Q34" s="188">
        <f t="shared" si="4"/>
        <v>6406.8647460000002</v>
      </c>
      <c r="R34" s="145"/>
    </row>
    <row r="35" spans="1:18" x14ac:dyDescent="0.3">
      <c r="A35" s="180">
        <v>44866</v>
      </c>
      <c r="B35" s="189">
        <f t="shared" si="0"/>
        <v>6410.53</v>
      </c>
      <c r="C35" s="181">
        <f t="shared" si="8"/>
        <v>1.1499999999999999</v>
      </c>
      <c r="D35" s="178">
        <f t="shared" si="1"/>
        <v>5.7282350480569733E-2</v>
      </c>
      <c r="E35" s="179">
        <f t="shared" si="5"/>
        <v>1.0033902708929745</v>
      </c>
      <c r="F35" s="178">
        <f t="shared" si="2"/>
        <v>0.33902708929745007</v>
      </c>
      <c r="G35" s="182">
        <f>WORKDAY(WORKDAY(DATEVALUE(CONCATENATE("15/"&amp;MONTH(EDATE($A35,-1))&amp;"/"&amp;YEAR(EDATE(A35,-1)))),-1,Feriados!$A$2:$A$1037),1,Feriados!$A$2:$A$1037)</f>
        <v>44851</v>
      </c>
      <c r="H35" s="183">
        <f t="shared" si="7"/>
        <v>6370.34</v>
      </c>
      <c r="I35" s="184">
        <f>IF(P35="após","",NETWORKDAYS(G35,A35-1,Feriados!$A$2:$A$1037))</f>
        <v>11</v>
      </c>
      <c r="J35" s="184">
        <f>IF(P35="após","",NETWORKDAYS(G35,K35-1,Feriados!$A$2:$A$1037))</f>
        <v>20</v>
      </c>
      <c r="K35" s="177">
        <f>WORKDAY(WORKDAY(DATEVALUE(CONCATENATE("15/"&amp;MONTH(A35)&amp;"/"&amp;YEAR(A35))),-1,Feriados!$A$2:$A$1037),1,Feriados!$A$2:$A$1037)</f>
        <v>44881</v>
      </c>
      <c r="L35" s="183">
        <f t="shared" si="6"/>
        <v>6443.6</v>
      </c>
      <c r="M35" s="182">
        <f>WORKDAY(WORKDAY(DATEVALUE(CONCATENATE("15/"&amp;MONTH(EDATE(A35,1))&amp;"/"&amp;YEAR(EDATE(A35,1)))),-1,Feriados!$A$2:$A$1037),1,Feriados!$A$2:$A$1037)</f>
        <v>44910</v>
      </c>
      <c r="N35" s="186" t="str">
        <f>IF(P35="antes","",NETWORKDAYS(K35,A35-1,Feriados!$A$2:$A$1037))</f>
        <v/>
      </c>
      <c r="O35" s="186" t="str">
        <f>IF(P35="antes","",NETWORKDAYS(K35,M35-1,Feriados!$A$2:$A$1037))</f>
        <v/>
      </c>
      <c r="P35" s="172" t="str">
        <f t="shared" si="3"/>
        <v>Antes</v>
      </c>
      <c r="Q35" s="188">
        <f t="shared" si="4"/>
        <v>6410.5287189999999</v>
      </c>
      <c r="R35" s="145"/>
    </row>
    <row r="36" spans="1:18" x14ac:dyDescent="0.3">
      <c r="A36" s="180">
        <v>44868</v>
      </c>
      <c r="B36" s="189">
        <f t="shared" si="0"/>
        <v>6414.19</v>
      </c>
      <c r="C36" s="181">
        <f t="shared" si="8"/>
        <v>1.1499999999999999</v>
      </c>
      <c r="D36" s="178">
        <f t="shared" ref="D36:D67" si="9">+(B36/B35-1)*100</f>
        <v>5.7093563246723988E-2</v>
      </c>
      <c r="E36" s="179">
        <f t="shared" si="5"/>
        <v>1.0039631421518982</v>
      </c>
      <c r="F36" s="178">
        <f t="shared" si="2"/>
        <v>0.39631421518981913</v>
      </c>
      <c r="G36" s="182">
        <f>WORKDAY(WORKDAY(DATEVALUE(CONCATENATE("15/"&amp;MONTH(EDATE($A36,-1))&amp;"/"&amp;YEAR(EDATE(A36,-1)))),-1,Feriados!$A$2:$A$1037),1,Feriados!$A$2:$A$1037)</f>
        <v>44851</v>
      </c>
      <c r="H36" s="183">
        <f t="shared" si="7"/>
        <v>6370.34</v>
      </c>
      <c r="I36" s="184">
        <f>IF(P36="após","",NETWORKDAYS(G36,A36-1,Feriados!$A$2:$A$1037))</f>
        <v>12</v>
      </c>
      <c r="J36" s="184">
        <f>IF(P36="após","",NETWORKDAYS(G36,K36-1,Feriados!$A$2:$A$1037))</f>
        <v>20</v>
      </c>
      <c r="K36" s="177">
        <f>WORKDAY(WORKDAY(DATEVALUE(CONCATENATE("15/"&amp;MONTH(A36)&amp;"/"&amp;YEAR(A36))),-1,Feriados!$A$2:$A$1037),1,Feriados!$A$2:$A$1037)</f>
        <v>44881</v>
      </c>
      <c r="L36" s="183">
        <f t="shared" si="6"/>
        <v>6443.6</v>
      </c>
      <c r="M36" s="182">
        <f>WORKDAY(WORKDAY(DATEVALUE(CONCATENATE("15/"&amp;MONTH(EDATE(A36,1))&amp;"/"&amp;YEAR(EDATE(A36,1)))),-1,Feriados!$A$2:$A$1037),1,Feriados!$A$2:$A$1037)</f>
        <v>44910</v>
      </c>
      <c r="N36" s="186" t="str">
        <f>IF(P36="antes","",NETWORKDAYS(K36,A36-1,Feriados!$A$2:$A$1037))</f>
        <v/>
      </c>
      <c r="O36" s="186" t="str">
        <f>IF(P36="antes","",NETWORKDAYS(K36,M36-1,Feriados!$A$2:$A$1037))</f>
        <v/>
      </c>
      <c r="P36" s="172" t="str">
        <f t="shared" ref="P36:P67" si="10">IF(A36&gt;K36,"Após","Antes")</f>
        <v>Antes</v>
      </c>
      <c r="Q36" s="188">
        <f t="shared" ref="Q36:Q67" si="11">IF(A36&gt;K36,TRUNC(+L36*((1+C36/100)^(N36/O36)),6),TRUNC(+H36*((1+C36/100)^(I36/J36)),6))</f>
        <v>6414.1947870000004</v>
      </c>
      <c r="R36" s="145"/>
    </row>
    <row r="37" spans="1:18" x14ac:dyDescent="0.3">
      <c r="A37" s="180">
        <v>44869</v>
      </c>
      <c r="B37" s="189">
        <f t="shared" si="0"/>
        <v>6417.86</v>
      </c>
      <c r="C37" s="181">
        <f t="shared" si="8"/>
        <v>1.1499999999999999</v>
      </c>
      <c r="D37" s="178">
        <f t="shared" si="9"/>
        <v>5.7216889427968987E-2</v>
      </c>
      <c r="E37" s="179">
        <f t="shared" si="5"/>
        <v>1.0045375786328408</v>
      </c>
      <c r="F37" s="178">
        <f t="shared" si="2"/>
        <v>0.45375786328407663</v>
      </c>
      <c r="G37" s="182">
        <f>WORKDAY(WORKDAY(DATEVALUE(CONCATENATE("15/"&amp;MONTH(EDATE($A37,-1))&amp;"/"&amp;YEAR(EDATE(A37,-1)))),-1,Feriados!$A$2:$A$1037),1,Feriados!$A$2:$A$1037)</f>
        <v>44851</v>
      </c>
      <c r="H37" s="183">
        <f t="shared" si="7"/>
        <v>6370.34</v>
      </c>
      <c r="I37" s="184">
        <f>IF(P37="após","",NETWORKDAYS(G37,A37-1,Feriados!$A$2:$A$1037))</f>
        <v>13</v>
      </c>
      <c r="J37" s="184">
        <f>IF(P37="após","",NETWORKDAYS(G37,K37-1,Feriados!$A$2:$A$1037))</f>
        <v>20</v>
      </c>
      <c r="K37" s="177">
        <f>WORKDAY(WORKDAY(DATEVALUE(CONCATENATE("15/"&amp;MONTH(A37)&amp;"/"&amp;YEAR(A37))),-1,Feriados!$A$2:$A$1037),1,Feriados!$A$2:$A$1037)</f>
        <v>44881</v>
      </c>
      <c r="L37" s="183">
        <f t="shared" si="6"/>
        <v>6443.6</v>
      </c>
      <c r="M37" s="182">
        <f>WORKDAY(WORKDAY(DATEVALUE(CONCATENATE("15/"&amp;MONTH(EDATE(A37,1))&amp;"/"&amp;YEAR(EDATE(A37,1)))),-1,Feriados!$A$2:$A$1037),1,Feriados!$A$2:$A$1037)</f>
        <v>44910</v>
      </c>
      <c r="N37" s="186" t="str">
        <f>IF(P37="antes","",NETWORKDAYS(K37,A37-1,Feriados!$A$2:$A$1037))</f>
        <v/>
      </c>
      <c r="O37" s="186" t="str">
        <f>IF(P37="antes","",NETWORKDAYS(K37,M37-1,Feriados!$A$2:$A$1037))</f>
        <v/>
      </c>
      <c r="P37" s="172" t="str">
        <f t="shared" si="10"/>
        <v>Antes</v>
      </c>
      <c r="Q37" s="188">
        <f t="shared" si="11"/>
        <v>6417.8629520000004</v>
      </c>
      <c r="R37" s="145"/>
    </row>
    <row r="38" spans="1:18" x14ac:dyDescent="0.3">
      <c r="A38" s="180">
        <v>44872</v>
      </c>
      <c r="B38" s="189">
        <f t="shared" si="0"/>
        <v>6421.53</v>
      </c>
      <c r="C38" s="181">
        <f t="shared" si="8"/>
        <v>1.1499999999999999</v>
      </c>
      <c r="D38" s="178">
        <f t="shared" si="9"/>
        <v>5.7184170424418035E-2</v>
      </c>
      <c r="E38" s="179">
        <f t="shared" si="5"/>
        <v>1.0051120151137836</v>
      </c>
      <c r="F38" s="178">
        <f t="shared" si="2"/>
        <v>0.51120151137835634</v>
      </c>
      <c r="G38" s="182">
        <f>WORKDAY(WORKDAY(DATEVALUE(CONCATENATE("15/"&amp;MONTH(EDATE($A38,-1))&amp;"/"&amp;YEAR(EDATE(A38,-1)))),-1,Feriados!$A$2:$A$1037),1,Feriados!$A$2:$A$1037)</f>
        <v>44851</v>
      </c>
      <c r="H38" s="183">
        <f t="shared" si="7"/>
        <v>6370.34</v>
      </c>
      <c r="I38" s="184">
        <f>IF(P38="após","",NETWORKDAYS(G38,A38-1,Feriados!$A$2:$A$1037))</f>
        <v>14</v>
      </c>
      <c r="J38" s="184">
        <f>IF(P38="após","",NETWORKDAYS(G38,K38-1,Feriados!$A$2:$A$1037))</f>
        <v>20</v>
      </c>
      <c r="K38" s="177">
        <f>WORKDAY(WORKDAY(DATEVALUE(CONCATENATE("15/"&amp;MONTH(A38)&amp;"/"&amp;YEAR(A38))),-1,Feriados!$A$2:$A$1037),1,Feriados!$A$2:$A$1037)</f>
        <v>44881</v>
      </c>
      <c r="L38" s="183">
        <f t="shared" si="6"/>
        <v>6443.6</v>
      </c>
      <c r="M38" s="182">
        <f>WORKDAY(WORKDAY(DATEVALUE(CONCATENATE("15/"&amp;MONTH(EDATE(A38,1))&amp;"/"&amp;YEAR(EDATE(A38,1)))),-1,Feriados!$A$2:$A$1037),1,Feriados!$A$2:$A$1037)</f>
        <v>44910</v>
      </c>
      <c r="N38" s="186" t="str">
        <f>IF(P38="antes","",NETWORKDAYS(K38,A38-1,Feriados!$A$2:$A$1037))</f>
        <v/>
      </c>
      <c r="O38" s="186" t="str">
        <f>IF(P38="antes","",NETWORKDAYS(K38,M38-1,Feriados!$A$2:$A$1037))</f>
        <v/>
      </c>
      <c r="P38" s="172" t="str">
        <f t="shared" si="10"/>
        <v>Antes</v>
      </c>
      <c r="Q38" s="188">
        <f t="shared" si="11"/>
        <v>6421.533214</v>
      </c>
      <c r="R38" s="145"/>
    </row>
    <row r="39" spans="1:18" x14ac:dyDescent="0.3">
      <c r="A39" s="180">
        <v>44873</v>
      </c>
      <c r="B39" s="189">
        <f t="shared" si="0"/>
        <v>6425.21</v>
      </c>
      <c r="C39" s="181">
        <f t="shared" si="8"/>
        <v>1.1499999999999999</v>
      </c>
      <c r="D39" s="178">
        <f t="shared" si="9"/>
        <v>5.7307214947210916E-2</v>
      </c>
      <c r="E39" s="179">
        <f t="shared" si="5"/>
        <v>1.005688016816745</v>
      </c>
      <c r="F39" s="178">
        <f t="shared" si="2"/>
        <v>0.56880168167450229</v>
      </c>
      <c r="G39" s="182">
        <f>WORKDAY(WORKDAY(DATEVALUE(CONCATENATE("15/"&amp;MONTH(EDATE($A39,-1))&amp;"/"&amp;YEAR(EDATE(A39,-1)))),-1,Feriados!$A$2:$A$1037),1,Feriados!$A$2:$A$1037)</f>
        <v>44851</v>
      </c>
      <c r="H39" s="183">
        <f t="shared" si="7"/>
        <v>6370.34</v>
      </c>
      <c r="I39" s="184">
        <f>IF(P39="após","",NETWORKDAYS(G39,A39-1,Feriados!$A$2:$A$1037))</f>
        <v>15</v>
      </c>
      <c r="J39" s="184">
        <f>IF(P39="após","",NETWORKDAYS(G39,K39-1,Feriados!$A$2:$A$1037))</f>
        <v>20</v>
      </c>
      <c r="K39" s="177">
        <f>WORKDAY(WORKDAY(DATEVALUE(CONCATENATE("15/"&amp;MONTH(A39)&amp;"/"&amp;YEAR(A39))),-1,Feriados!$A$2:$A$1037),1,Feriados!$A$2:$A$1037)</f>
        <v>44881</v>
      </c>
      <c r="L39" s="183">
        <f t="shared" si="6"/>
        <v>6443.6</v>
      </c>
      <c r="M39" s="182">
        <f>WORKDAY(WORKDAY(DATEVALUE(CONCATENATE("15/"&amp;MONTH(EDATE(A39,1))&amp;"/"&amp;YEAR(EDATE(A39,1)))),-1,Feriados!$A$2:$A$1037),1,Feriados!$A$2:$A$1037)</f>
        <v>44910</v>
      </c>
      <c r="N39" s="186" t="str">
        <f>IF(P39="antes","",NETWORKDAYS(K39,A39-1,Feriados!$A$2:$A$1037))</f>
        <v/>
      </c>
      <c r="O39" s="186" t="str">
        <f>IF(P39="antes","",NETWORKDAYS(K39,M39-1,Feriados!$A$2:$A$1037))</f>
        <v/>
      </c>
      <c r="P39" s="172" t="str">
        <f t="shared" si="10"/>
        <v>Antes</v>
      </c>
      <c r="Q39" s="188">
        <f t="shared" si="11"/>
        <v>6425.2055760000003</v>
      </c>
      <c r="R39" s="145"/>
    </row>
    <row r="40" spans="1:18" x14ac:dyDescent="0.3">
      <c r="A40" s="180">
        <v>44874</v>
      </c>
      <c r="B40" s="189">
        <f t="shared" si="0"/>
        <v>6428.88</v>
      </c>
      <c r="C40" s="181">
        <f t="shared" si="8"/>
        <v>1.1499999999999999</v>
      </c>
      <c r="D40" s="178">
        <f t="shared" si="9"/>
        <v>5.7118755651575093E-2</v>
      </c>
      <c r="E40" s="179">
        <f t="shared" si="5"/>
        <v>1.0062624532976878</v>
      </c>
      <c r="F40" s="178">
        <f t="shared" si="2"/>
        <v>0.626245329768782</v>
      </c>
      <c r="G40" s="182">
        <f>WORKDAY(WORKDAY(DATEVALUE(CONCATENATE("15/"&amp;MONTH(EDATE($A40,-1))&amp;"/"&amp;YEAR(EDATE(A40,-1)))),-1,Feriados!$A$2:$A$1037),1,Feriados!$A$2:$A$1037)</f>
        <v>44851</v>
      </c>
      <c r="H40" s="183">
        <f t="shared" si="7"/>
        <v>6370.34</v>
      </c>
      <c r="I40" s="184">
        <f>IF(P40="após","",NETWORKDAYS(G40,A40-1,Feriados!$A$2:$A$1037))</f>
        <v>16</v>
      </c>
      <c r="J40" s="184">
        <f>IF(P40="após","",NETWORKDAYS(G40,K40-1,Feriados!$A$2:$A$1037))</f>
        <v>20</v>
      </c>
      <c r="K40" s="177">
        <f>WORKDAY(WORKDAY(DATEVALUE(CONCATENATE("15/"&amp;MONTH(A40)&amp;"/"&amp;YEAR(A40))),-1,Feriados!$A$2:$A$1037),1,Feriados!$A$2:$A$1037)</f>
        <v>44881</v>
      </c>
      <c r="L40" s="183">
        <f t="shared" si="6"/>
        <v>6443.6</v>
      </c>
      <c r="M40" s="182">
        <f>WORKDAY(WORKDAY(DATEVALUE(CONCATENATE("15/"&amp;MONTH(EDATE(A40,1))&amp;"/"&amp;YEAR(EDATE(A40,1)))),-1,Feriados!$A$2:$A$1037),1,Feriados!$A$2:$A$1037)</f>
        <v>44910</v>
      </c>
      <c r="N40" s="186" t="str">
        <f>IF(P40="antes","",NETWORKDAYS(K40,A40-1,Feriados!$A$2:$A$1037))</f>
        <v/>
      </c>
      <c r="O40" s="186" t="str">
        <f>IF(P40="antes","",NETWORKDAYS(K40,M40-1,Feriados!$A$2:$A$1037))</f>
        <v/>
      </c>
      <c r="P40" s="172" t="str">
        <f t="shared" si="10"/>
        <v>Antes</v>
      </c>
      <c r="Q40" s="188">
        <f t="shared" si="11"/>
        <v>6428.8800369999999</v>
      </c>
      <c r="R40" s="145"/>
    </row>
    <row r="41" spans="1:18" x14ac:dyDescent="0.3">
      <c r="A41" s="180">
        <v>44875</v>
      </c>
      <c r="B41" s="189">
        <f t="shared" si="0"/>
        <v>6432.56</v>
      </c>
      <c r="C41" s="181">
        <f t="shared" si="8"/>
        <v>1.1499999999999999</v>
      </c>
      <c r="D41" s="178">
        <f t="shared" si="9"/>
        <v>5.7241696843002288E-2</v>
      </c>
      <c r="E41" s="179">
        <f t="shared" si="5"/>
        <v>1.0068384550006495</v>
      </c>
      <c r="F41" s="178">
        <f t="shared" si="2"/>
        <v>0.68384550006495015</v>
      </c>
      <c r="G41" s="182">
        <f>WORKDAY(WORKDAY(DATEVALUE(CONCATENATE("15/"&amp;MONTH(EDATE($A41,-1))&amp;"/"&amp;YEAR(EDATE(A41,-1)))),-1,Feriados!$A$2:$A$1037),1,Feriados!$A$2:$A$1037)</f>
        <v>44851</v>
      </c>
      <c r="H41" s="183">
        <f t="shared" si="7"/>
        <v>6370.34</v>
      </c>
      <c r="I41" s="184">
        <f>IF(P41="após","",NETWORKDAYS(G41,A41-1,Feriados!$A$2:$A$1037))</f>
        <v>17</v>
      </c>
      <c r="J41" s="184">
        <f>IF(P41="após","",NETWORKDAYS(G41,K41-1,Feriados!$A$2:$A$1037))</f>
        <v>20</v>
      </c>
      <c r="K41" s="177">
        <f>WORKDAY(WORKDAY(DATEVALUE(CONCATENATE("15/"&amp;MONTH(A41)&amp;"/"&amp;YEAR(A41))),-1,Feriados!$A$2:$A$1037),1,Feriados!$A$2:$A$1037)</f>
        <v>44881</v>
      </c>
      <c r="L41" s="183">
        <f t="shared" si="6"/>
        <v>6443.6</v>
      </c>
      <c r="M41" s="182">
        <f>WORKDAY(WORKDAY(DATEVALUE(CONCATENATE("15/"&amp;MONTH(EDATE(A41,1))&amp;"/"&amp;YEAR(EDATE(A41,1)))),-1,Feriados!$A$2:$A$1037),1,Feriados!$A$2:$A$1037)</f>
        <v>44910</v>
      </c>
      <c r="N41" s="186" t="str">
        <f>IF(P41="antes","",NETWORKDAYS(K41,A41-1,Feriados!$A$2:$A$1037))</f>
        <v/>
      </c>
      <c r="O41" s="186" t="str">
        <f>IF(P41="antes","",NETWORKDAYS(K41,M41-1,Feriados!$A$2:$A$1037))</f>
        <v/>
      </c>
      <c r="P41" s="172" t="str">
        <f t="shared" si="10"/>
        <v>Antes</v>
      </c>
      <c r="Q41" s="188">
        <f t="shared" si="11"/>
        <v>6432.5565999999999</v>
      </c>
      <c r="R41" s="145"/>
    </row>
    <row r="42" spans="1:18" x14ac:dyDescent="0.3">
      <c r="A42" s="180">
        <v>44876</v>
      </c>
      <c r="B42" s="189">
        <f t="shared" si="0"/>
        <v>6436.24</v>
      </c>
      <c r="C42" s="181">
        <f t="shared" si="8"/>
        <v>1.1499999999999999</v>
      </c>
      <c r="D42" s="178">
        <f t="shared" si="9"/>
        <v>5.7208949469567116E-2</v>
      </c>
      <c r="E42" s="179">
        <f t="shared" si="5"/>
        <v>1.007414456703611</v>
      </c>
      <c r="F42" s="178">
        <f t="shared" si="2"/>
        <v>0.7414456703610961</v>
      </c>
      <c r="G42" s="182">
        <f>WORKDAY(WORKDAY(DATEVALUE(CONCATENATE("15/"&amp;MONTH(EDATE($A42,-1))&amp;"/"&amp;YEAR(EDATE(A42,-1)))),-1,Feriados!$A$2:$A$1037),1,Feriados!$A$2:$A$1037)</f>
        <v>44851</v>
      </c>
      <c r="H42" s="183">
        <f t="shared" si="7"/>
        <v>6370.34</v>
      </c>
      <c r="I42" s="184">
        <f>IF(P42="após","",NETWORKDAYS(G42,A42-1,Feriados!$A$2:$A$1037))</f>
        <v>18</v>
      </c>
      <c r="J42" s="184">
        <f>IF(P42="após","",NETWORKDAYS(G42,K42-1,Feriados!$A$2:$A$1037))</f>
        <v>20</v>
      </c>
      <c r="K42" s="177">
        <f>WORKDAY(WORKDAY(DATEVALUE(CONCATENATE("15/"&amp;MONTH(A42)&amp;"/"&amp;YEAR(A42))),-1,Feriados!$A$2:$A$1037),1,Feriados!$A$2:$A$1037)</f>
        <v>44881</v>
      </c>
      <c r="L42" s="183">
        <f t="shared" si="6"/>
        <v>6443.6</v>
      </c>
      <c r="M42" s="182">
        <f>WORKDAY(WORKDAY(DATEVALUE(CONCATENATE("15/"&amp;MONTH(EDATE(A42,1))&amp;"/"&amp;YEAR(EDATE(A42,1)))),-1,Feriados!$A$2:$A$1037),1,Feriados!$A$2:$A$1037)</f>
        <v>44910</v>
      </c>
      <c r="N42" s="186" t="str">
        <f>IF(P42="antes","",NETWORKDAYS(K42,A42-1,Feriados!$A$2:$A$1037))</f>
        <v/>
      </c>
      <c r="O42" s="186" t="str">
        <f>IF(P42="antes","",NETWORKDAYS(K42,M42-1,Feriados!$A$2:$A$1037))</f>
        <v/>
      </c>
      <c r="P42" s="172" t="str">
        <f t="shared" si="10"/>
        <v>Antes</v>
      </c>
      <c r="Q42" s="188">
        <f t="shared" si="11"/>
        <v>6436.2352659999997</v>
      </c>
      <c r="R42" s="145"/>
    </row>
    <row r="43" spans="1:18" x14ac:dyDescent="0.3">
      <c r="A43" s="180">
        <v>44879</v>
      </c>
      <c r="B43" s="189">
        <f t="shared" si="0"/>
        <v>6439.92</v>
      </c>
      <c r="C43" s="181">
        <f t="shared" si="8"/>
        <v>1.1499999999999999</v>
      </c>
      <c r="D43" s="178">
        <f t="shared" si="9"/>
        <v>5.7176239543599294E-2</v>
      </c>
      <c r="E43" s="179">
        <f t="shared" si="5"/>
        <v>1.0079904584065726</v>
      </c>
      <c r="F43" s="178">
        <f t="shared" si="2"/>
        <v>0.79904584065726425</v>
      </c>
      <c r="G43" s="182">
        <f>WORKDAY(WORKDAY(DATEVALUE(CONCATENATE("15/"&amp;MONTH(EDATE($A43,-1))&amp;"/"&amp;YEAR(EDATE(A43,-1)))),-1,Feriados!$A$2:$A$1037),1,Feriados!$A$2:$A$1037)</f>
        <v>44851</v>
      </c>
      <c r="H43" s="183">
        <f t="shared" si="7"/>
        <v>6370.34</v>
      </c>
      <c r="I43" s="184">
        <f>IF(P43="após","",NETWORKDAYS(G43,A43-1,Feriados!$A$2:$A$1037))</f>
        <v>19</v>
      </c>
      <c r="J43" s="184">
        <f>IF(P43="após","",NETWORKDAYS(G43,K43-1,Feriados!$A$2:$A$1037))</f>
        <v>20</v>
      </c>
      <c r="K43" s="177">
        <f>WORKDAY(WORKDAY(DATEVALUE(CONCATENATE("15/"&amp;MONTH(A43)&amp;"/"&amp;YEAR(A43))),-1,Feriados!$A$2:$A$1037),1,Feriados!$A$2:$A$1037)</f>
        <v>44881</v>
      </c>
      <c r="L43" s="183">
        <f t="shared" si="6"/>
        <v>6443.6</v>
      </c>
      <c r="M43" s="182">
        <f>WORKDAY(WORKDAY(DATEVALUE(CONCATENATE("15/"&amp;MONTH(EDATE(A43,1))&amp;"/"&amp;YEAR(EDATE(A43,1)))),-1,Feriados!$A$2:$A$1037),1,Feriados!$A$2:$A$1037)</f>
        <v>44910</v>
      </c>
      <c r="N43" s="186" t="str">
        <f>IF(P43="antes","",NETWORKDAYS(K43,A43-1,Feriados!$A$2:$A$1037))</f>
        <v/>
      </c>
      <c r="O43" s="186" t="str">
        <f>IF(P43="antes","",NETWORKDAYS(K43,M43-1,Feriados!$A$2:$A$1037))</f>
        <v/>
      </c>
      <c r="P43" s="172" t="str">
        <f t="shared" si="10"/>
        <v>Antes</v>
      </c>
      <c r="Q43" s="188">
        <f t="shared" si="11"/>
        <v>6439.9160350000002</v>
      </c>
      <c r="R43" s="145"/>
    </row>
    <row r="44" spans="1:18" x14ac:dyDescent="0.3">
      <c r="A44" s="180">
        <v>44881</v>
      </c>
      <c r="B44" s="189">
        <f t="shared" si="0"/>
        <v>6443.6</v>
      </c>
      <c r="C44" s="181">
        <f t="shared" si="8"/>
        <v>1.1499999999999999</v>
      </c>
      <c r="D44" s="178">
        <f t="shared" si="9"/>
        <v>5.7143567000839113E-2</v>
      </c>
      <c r="E44" s="179">
        <f t="shared" si="5"/>
        <v>1.0085664601095343</v>
      </c>
      <c r="F44" s="178">
        <f t="shared" si="2"/>
        <v>0.8566460109534324</v>
      </c>
      <c r="G44" s="182">
        <f>WORKDAY(WORKDAY(DATEVALUE(CONCATENATE("15/"&amp;MONTH(EDATE($A44,-1))&amp;"/"&amp;YEAR(EDATE(A44,-1)))),-1,Feriados!$A$2:$A$1037),1,Feriados!$A$2:$A$1037)</f>
        <v>44851</v>
      </c>
      <c r="H44" s="183">
        <f t="shared" si="7"/>
        <v>6370.34</v>
      </c>
      <c r="I44" s="184">
        <f>IF(P44="após","",NETWORKDAYS(G44,A44-1,Feriados!$A$2:$A$1037))</f>
        <v>20</v>
      </c>
      <c r="J44" s="184">
        <f>IF(P44="após","",NETWORKDAYS(G44,K44-1,Feriados!$A$2:$A$1037))</f>
        <v>20</v>
      </c>
      <c r="K44" s="177">
        <f>WORKDAY(WORKDAY(DATEVALUE(CONCATENATE("15/"&amp;MONTH(A44)&amp;"/"&amp;YEAR(A44))),-1,Feriados!$A$2:$A$1037),1,Feriados!$A$2:$A$1037)</f>
        <v>44881</v>
      </c>
      <c r="L44" s="183">
        <f t="shared" si="6"/>
        <v>6443.6</v>
      </c>
      <c r="M44" s="182">
        <f>WORKDAY(WORKDAY(DATEVALUE(CONCATENATE("15/"&amp;MONTH(EDATE(A44,1))&amp;"/"&amp;YEAR(EDATE(A44,1)))),-1,Feriados!$A$2:$A$1037),1,Feriados!$A$2:$A$1037)</f>
        <v>44910</v>
      </c>
      <c r="N44" s="186" t="str">
        <f>IF(P44="antes","",NETWORKDAYS(K44,A44-1,Feriados!$A$2:$A$1037))</f>
        <v/>
      </c>
      <c r="O44" s="186" t="str">
        <f>IF(P44="antes","",NETWORKDAYS(K44,M44-1,Feriados!$A$2:$A$1037))</f>
        <v/>
      </c>
      <c r="P44" s="172" t="str">
        <f t="shared" si="10"/>
        <v>Antes</v>
      </c>
      <c r="Q44" s="188">
        <f t="shared" si="11"/>
        <v>6443.5989099999997</v>
      </c>
      <c r="R44" s="145"/>
    </row>
    <row r="45" spans="1:18" x14ac:dyDescent="0.3">
      <c r="A45" s="180">
        <v>44882</v>
      </c>
      <c r="B45" s="189">
        <f t="shared" si="0"/>
        <v>6447.11</v>
      </c>
      <c r="C45" s="181">
        <f t="shared" si="8"/>
        <v>1.1499999999999999</v>
      </c>
      <c r="D45" s="178">
        <f t="shared" si="9"/>
        <v>5.4472655037551831E-2</v>
      </c>
      <c r="E45" s="179">
        <f t="shared" si="5"/>
        <v>1.0091158530381743</v>
      </c>
      <c r="F45" s="178">
        <f t="shared" si="2"/>
        <v>0.91158530381743041</v>
      </c>
      <c r="G45" s="182">
        <f>WORKDAY(WORKDAY(DATEVALUE(CONCATENATE("15/"&amp;MONTH(EDATE($A45,-1))&amp;"/"&amp;YEAR(EDATE(A45,-1)))),-1,Feriados!$A$2:$A$1037),1,Feriados!$A$2:$A$1037)</f>
        <v>44851</v>
      </c>
      <c r="H45" s="183">
        <f t="shared" si="7"/>
        <v>6370.34</v>
      </c>
      <c r="I45" s="184" t="str">
        <f>IF(P45="após","",NETWORKDAYS(G45,A45-1,Feriados!$A$2:$A$1037))</f>
        <v/>
      </c>
      <c r="J45" s="184" t="str">
        <f>IF(P45="após","",NETWORKDAYS(G45,K45-1,Feriados!$A$2:$A$1037))</f>
        <v/>
      </c>
      <c r="K45" s="177">
        <f>WORKDAY(WORKDAY(DATEVALUE(CONCATENATE("15/"&amp;MONTH(A45)&amp;"/"&amp;YEAR(A45))),-1,Feriados!$A$2:$A$1037),1,Feriados!$A$2:$A$1037)</f>
        <v>44881</v>
      </c>
      <c r="L45" s="183">
        <f t="shared" si="6"/>
        <v>6443.6</v>
      </c>
      <c r="M45" s="182">
        <f>WORKDAY(WORKDAY(DATEVALUE(CONCATENATE("15/"&amp;MONTH(EDATE(A45,1))&amp;"/"&amp;YEAR(EDATE(A45,1)))),-1,Feriados!$A$2:$A$1037),1,Feriados!$A$2:$A$1037)</f>
        <v>44910</v>
      </c>
      <c r="N45" s="186">
        <f>IF(P45="antes","",NETWORKDAYS(K45,A45-1,Feriados!$A$2:$A$1037))</f>
        <v>1</v>
      </c>
      <c r="O45" s="186">
        <f>IF(P45="antes","",NETWORKDAYS(K45,M45-1,Feriados!$A$2:$A$1037))</f>
        <v>21</v>
      </c>
      <c r="P45" s="172" t="str">
        <f t="shared" si="10"/>
        <v>Após</v>
      </c>
      <c r="Q45" s="188">
        <f t="shared" si="11"/>
        <v>6447.1094579999999</v>
      </c>
      <c r="R45" s="145"/>
    </row>
    <row r="46" spans="1:18" x14ac:dyDescent="0.3">
      <c r="A46" s="180">
        <v>44883</v>
      </c>
      <c r="B46" s="189">
        <f t="shared" si="0"/>
        <v>6450.62</v>
      </c>
      <c r="C46" s="181">
        <f t="shared" si="8"/>
        <v>1.1499999999999999</v>
      </c>
      <c r="D46" s="178">
        <f t="shared" si="9"/>
        <v>5.4442998490800143E-2</v>
      </c>
      <c r="E46" s="179">
        <f t="shared" si="5"/>
        <v>1.0096652459668143</v>
      </c>
      <c r="F46" s="178">
        <f t="shared" si="2"/>
        <v>0.96652459668142843</v>
      </c>
      <c r="G46" s="182">
        <f>WORKDAY(WORKDAY(DATEVALUE(CONCATENATE("15/"&amp;MONTH(EDATE($A46,-1))&amp;"/"&amp;YEAR(EDATE(A46,-1)))),-1,Feriados!$A$2:$A$1037),1,Feriados!$A$2:$A$1037)</f>
        <v>44851</v>
      </c>
      <c r="H46" s="183">
        <f t="shared" si="7"/>
        <v>6370.34</v>
      </c>
      <c r="I46" s="184" t="str">
        <f>IF(P46="após","",NETWORKDAYS(G46,A46-1,Feriados!$A$2:$A$1037))</f>
        <v/>
      </c>
      <c r="J46" s="184" t="str">
        <f>IF(P46="após","",NETWORKDAYS(G46,K46-1,Feriados!$A$2:$A$1037))</f>
        <v/>
      </c>
      <c r="K46" s="177">
        <f>WORKDAY(WORKDAY(DATEVALUE(CONCATENATE("15/"&amp;MONTH(A46)&amp;"/"&amp;YEAR(A46))),-1,Feriados!$A$2:$A$1037),1,Feriados!$A$2:$A$1037)</f>
        <v>44881</v>
      </c>
      <c r="L46" s="183">
        <f t="shared" si="6"/>
        <v>6443.6</v>
      </c>
      <c r="M46" s="182">
        <f>WORKDAY(WORKDAY(DATEVALUE(CONCATENATE("15/"&amp;MONTH(EDATE(A46,1))&amp;"/"&amp;YEAR(EDATE(A46,1)))),-1,Feriados!$A$2:$A$1037),1,Feriados!$A$2:$A$1037)</f>
        <v>44910</v>
      </c>
      <c r="N46" s="186">
        <f>IF(P46="antes","",NETWORKDAYS(K46,A46-1,Feriados!$A$2:$A$1037))</f>
        <v>2</v>
      </c>
      <c r="O46" s="186">
        <f>IF(P46="antes","",NETWORKDAYS(K46,M46-1,Feriados!$A$2:$A$1037))</f>
        <v>21</v>
      </c>
      <c r="P46" s="172" t="str">
        <f t="shared" si="10"/>
        <v>Após</v>
      </c>
      <c r="Q46" s="188">
        <f t="shared" si="11"/>
        <v>6450.6208269999997</v>
      </c>
      <c r="R46" s="145"/>
    </row>
    <row r="47" spans="1:18" x14ac:dyDescent="0.3">
      <c r="A47" s="180">
        <v>44886</v>
      </c>
      <c r="B47" s="189">
        <f t="shared" si="0"/>
        <v>6454.13</v>
      </c>
      <c r="C47" s="181">
        <f t="shared" si="8"/>
        <v>1.1499999999999999</v>
      </c>
      <c r="D47" s="178">
        <f t="shared" si="9"/>
        <v>5.4413374218298394E-2</v>
      </c>
      <c r="E47" s="179">
        <f t="shared" si="5"/>
        <v>1.0102146388954543</v>
      </c>
      <c r="F47" s="178">
        <f t="shared" si="2"/>
        <v>1.0214638895454264</v>
      </c>
      <c r="G47" s="182">
        <f>WORKDAY(WORKDAY(DATEVALUE(CONCATENATE("15/"&amp;MONTH(EDATE($A47,-1))&amp;"/"&amp;YEAR(EDATE(A47,-1)))),-1,Feriados!$A$2:$A$1037),1,Feriados!$A$2:$A$1037)</f>
        <v>44851</v>
      </c>
      <c r="H47" s="183">
        <f t="shared" si="7"/>
        <v>6370.34</v>
      </c>
      <c r="I47" s="184" t="str">
        <f>IF(P47="após","",NETWORKDAYS(G47,A47-1,Feriados!$A$2:$A$1037))</f>
        <v/>
      </c>
      <c r="J47" s="184" t="str">
        <f>IF(P47="após","",NETWORKDAYS(G47,K47-1,Feriados!$A$2:$A$1037))</f>
        <v/>
      </c>
      <c r="K47" s="177">
        <f>WORKDAY(WORKDAY(DATEVALUE(CONCATENATE("15/"&amp;MONTH(A47)&amp;"/"&amp;YEAR(A47))),-1,Feriados!$A$2:$A$1037),1,Feriados!$A$2:$A$1037)</f>
        <v>44881</v>
      </c>
      <c r="L47" s="183">
        <f t="shared" si="6"/>
        <v>6443.6</v>
      </c>
      <c r="M47" s="182">
        <f>WORKDAY(WORKDAY(DATEVALUE(CONCATENATE("15/"&amp;MONTH(EDATE(A47,1))&amp;"/"&amp;YEAR(EDATE(A47,1)))),-1,Feriados!$A$2:$A$1037),1,Feriados!$A$2:$A$1037)</f>
        <v>44910</v>
      </c>
      <c r="N47" s="186">
        <f>IF(P47="antes","",NETWORKDAYS(K47,A47-1,Feriados!$A$2:$A$1037))</f>
        <v>3</v>
      </c>
      <c r="O47" s="186">
        <f>IF(P47="antes","",NETWORKDAYS(K47,M47-1,Feriados!$A$2:$A$1037))</f>
        <v>21</v>
      </c>
      <c r="P47" s="172" t="str">
        <f t="shared" si="10"/>
        <v>Após</v>
      </c>
      <c r="Q47" s="188">
        <f t="shared" si="11"/>
        <v>6454.1341089999996</v>
      </c>
      <c r="R47" s="145"/>
    </row>
    <row r="48" spans="1:18" x14ac:dyDescent="0.3">
      <c r="A48" s="180">
        <v>44887</v>
      </c>
      <c r="B48" s="189">
        <f t="shared" si="0"/>
        <v>6457.65</v>
      </c>
      <c r="C48" s="181">
        <f t="shared" si="8"/>
        <v>1.1499999999999999</v>
      </c>
      <c r="D48" s="178">
        <f t="shared" si="9"/>
        <v>5.4538721717722893E-2</v>
      </c>
      <c r="E48" s="179">
        <f t="shared" si="5"/>
        <v>1.0107655970461131</v>
      </c>
      <c r="F48" s="178">
        <f t="shared" si="2"/>
        <v>1.0765597046113129</v>
      </c>
      <c r="G48" s="182">
        <f>WORKDAY(WORKDAY(DATEVALUE(CONCATENATE("15/"&amp;MONTH(EDATE($A48,-1))&amp;"/"&amp;YEAR(EDATE(A48,-1)))),-1,Feriados!$A$2:$A$1037),1,Feriados!$A$2:$A$1037)</f>
        <v>44851</v>
      </c>
      <c r="H48" s="183">
        <f t="shared" si="7"/>
        <v>6370.34</v>
      </c>
      <c r="I48" s="184" t="str">
        <f>IF(P48="após","",NETWORKDAYS(G48,A48-1,Feriados!$A$2:$A$1037))</f>
        <v/>
      </c>
      <c r="J48" s="184" t="str">
        <f>IF(P48="após","",NETWORKDAYS(G48,K48-1,Feriados!$A$2:$A$1037))</f>
        <v/>
      </c>
      <c r="K48" s="177">
        <f>WORKDAY(WORKDAY(DATEVALUE(CONCATENATE("15/"&amp;MONTH(A48)&amp;"/"&amp;YEAR(A48))),-1,Feriados!$A$2:$A$1037),1,Feriados!$A$2:$A$1037)</f>
        <v>44881</v>
      </c>
      <c r="L48" s="183">
        <f t="shared" si="6"/>
        <v>6443.6</v>
      </c>
      <c r="M48" s="182">
        <f>WORKDAY(WORKDAY(DATEVALUE(CONCATENATE("15/"&amp;MONTH(EDATE(A48,1))&amp;"/"&amp;YEAR(EDATE(A48,1)))),-1,Feriados!$A$2:$A$1037),1,Feriados!$A$2:$A$1037)</f>
        <v>44910</v>
      </c>
      <c r="N48" s="186">
        <f>IF(P48="antes","",NETWORKDAYS(K48,A48-1,Feriados!$A$2:$A$1037))</f>
        <v>4</v>
      </c>
      <c r="O48" s="186">
        <f>IF(P48="antes","",NETWORKDAYS(K48,M48-1,Feriados!$A$2:$A$1037))</f>
        <v>21</v>
      </c>
      <c r="P48" s="172" t="str">
        <f t="shared" si="10"/>
        <v>Após</v>
      </c>
      <c r="Q48" s="188">
        <f t="shared" si="11"/>
        <v>6457.6493039999996</v>
      </c>
      <c r="R48" s="145"/>
    </row>
    <row r="49" spans="1:18" x14ac:dyDescent="0.3">
      <c r="A49" s="180">
        <v>44888</v>
      </c>
      <c r="B49" s="189">
        <f t="shared" si="0"/>
        <v>6461.17</v>
      </c>
      <c r="C49" s="181">
        <f t="shared" si="8"/>
        <v>1.1499999999999999</v>
      </c>
      <c r="D49" s="178">
        <f t="shared" si="9"/>
        <v>5.4508993209601009E-2</v>
      </c>
      <c r="E49" s="179">
        <f t="shared" si="5"/>
        <v>1.011316555196772</v>
      </c>
      <c r="F49" s="178">
        <f t="shared" si="2"/>
        <v>1.1316555196771994</v>
      </c>
      <c r="G49" s="182">
        <f>WORKDAY(WORKDAY(DATEVALUE(CONCATENATE("15/"&amp;MONTH(EDATE($A49,-1))&amp;"/"&amp;YEAR(EDATE(A49,-1)))),-1,Feriados!$A$2:$A$1037),1,Feriados!$A$2:$A$1037)</f>
        <v>44851</v>
      </c>
      <c r="H49" s="183">
        <f t="shared" si="7"/>
        <v>6370.34</v>
      </c>
      <c r="I49" s="184" t="str">
        <f>IF(P49="após","",NETWORKDAYS(G49,A49-1,Feriados!$A$2:$A$1037))</f>
        <v/>
      </c>
      <c r="J49" s="184" t="str">
        <f>IF(P49="após","",NETWORKDAYS(G49,K49-1,Feriados!$A$2:$A$1037))</f>
        <v/>
      </c>
      <c r="K49" s="177">
        <f>WORKDAY(WORKDAY(DATEVALUE(CONCATENATE("15/"&amp;MONTH(A49)&amp;"/"&amp;YEAR(A49))),-1,Feriados!$A$2:$A$1037),1,Feriados!$A$2:$A$1037)</f>
        <v>44881</v>
      </c>
      <c r="L49" s="183">
        <f t="shared" si="6"/>
        <v>6443.6</v>
      </c>
      <c r="M49" s="182">
        <f>WORKDAY(WORKDAY(DATEVALUE(CONCATENATE("15/"&amp;MONTH(EDATE(A49,1))&amp;"/"&amp;YEAR(EDATE(A49,1)))),-1,Feriados!$A$2:$A$1037),1,Feriados!$A$2:$A$1037)</f>
        <v>44910</v>
      </c>
      <c r="N49" s="186">
        <f>IF(P49="antes","",NETWORKDAYS(K49,A49-1,Feriados!$A$2:$A$1037))</f>
        <v>5</v>
      </c>
      <c r="O49" s="186">
        <f>IF(P49="antes","",NETWORKDAYS(K49,M49-1,Feriados!$A$2:$A$1037))</f>
        <v>21</v>
      </c>
      <c r="P49" s="172" t="str">
        <f t="shared" si="10"/>
        <v>Após</v>
      </c>
      <c r="Q49" s="188">
        <f t="shared" si="11"/>
        <v>6461.1664140000003</v>
      </c>
      <c r="R49" s="145"/>
    </row>
    <row r="50" spans="1:18" x14ac:dyDescent="0.3">
      <c r="A50" s="180">
        <v>44889</v>
      </c>
      <c r="B50" s="189">
        <f t="shared" si="0"/>
        <v>6464.69</v>
      </c>
      <c r="C50" s="181">
        <f t="shared" si="8"/>
        <v>1.1499999999999999</v>
      </c>
      <c r="D50" s="178">
        <f t="shared" si="9"/>
        <v>5.4479297093235068E-2</v>
      </c>
      <c r="E50" s="179">
        <f t="shared" si="5"/>
        <v>1.0118675133474306</v>
      </c>
      <c r="F50" s="178">
        <f t="shared" si="2"/>
        <v>1.1867513347430636</v>
      </c>
      <c r="G50" s="182">
        <f>WORKDAY(WORKDAY(DATEVALUE(CONCATENATE("15/"&amp;MONTH(EDATE($A50,-1))&amp;"/"&amp;YEAR(EDATE(A50,-1)))),-1,Feriados!$A$2:$A$1037),1,Feriados!$A$2:$A$1037)</f>
        <v>44851</v>
      </c>
      <c r="H50" s="183">
        <f t="shared" si="7"/>
        <v>6370.34</v>
      </c>
      <c r="I50" s="184" t="str">
        <f>IF(P50="após","",NETWORKDAYS(G50,A50-1,Feriados!$A$2:$A$1037))</f>
        <v/>
      </c>
      <c r="J50" s="184" t="str">
        <f>IF(P50="após","",NETWORKDAYS(G50,K50-1,Feriados!$A$2:$A$1037))</f>
        <v/>
      </c>
      <c r="K50" s="177">
        <f>WORKDAY(WORKDAY(DATEVALUE(CONCATENATE("15/"&amp;MONTH(A50)&amp;"/"&amp;YEAR(A50))),-1,Feriados!$A$2:$A$1037),1,Feriados!$A$2:$A$1037)</f>
        <v>44881</v>
      </c>
      <c r="L50" s="183">
        <f t="shared" si="6"/>
        <v>6443.6</v>
      </c>
      <c r="M50" s="182">
        <f>WORKDAY(WORKDAY(DATEVALUE(CONCATENATE("15/"&amp;MONTH(EDATE(A50,1))&amp;"/"&amp;YEAR(EDATE(A50,1)))),-1,Feriados!$A$2:$A$1037),1,Feriados!$A$2:$A$1037)</f>
        <v>44910</v>
      </c>
      <c r="N50" s="186">
        <f>IF(P50="antes","",NETWORKDAYS(K50,A50-1,Feriados!$A$2:$A$1037))</f>
        <v>6</v>
      </c>
      <c r="O50" s="186">
        <f>IF(P50="antes","",NETWORKDAYS(K50,M50-1,Feriados!$A$2:$A$1037))</f>
        <v>21</v>
      </c>
      <c r="P50" s="172" t="str">
        <f t="shared" si="10"/>
        <v>Após</v>
      </c>
      <c r="Q50" s="188">
        <f t="shared" si="11"/>
        <v>6464.6854389999999</v>
      </c>
      <c r="R50" s="145"/>
    </row>
    <row r="51" spans="1:18" x14ac:dyDescent="0.3">
      <c r="A51" s="180">
        <v>44890</v>
      </c>
      <c r="B51" s="189">
        <f t="shared" si="0"/>
        <v>6468.21</v>
      </c>
      <c r="C51" s="181">
        <f t="shared" si="8"/>
        <v>1.1499999999999999</v>
      </c>
      <c r="D51" s="178">
        <f t="shared" si="9"/>
        <v>5.4449633315756252E-2</v>
      </c>
      <c r="E51" s="179">
        <f t="shared" si="5"/>
        <v>1.0124184714980895</v>
      </c>
      <c r="F51" s="178">
        <f t="shared" si="2"/>
        <v>1.2418471498089501</v>
      </c>
      <c r="G51" s="182">
        <f>WORKDAY(WORKDAY(DATEVALUE(CONCATENATE("15/"&amp;MONTH(EDATE($A51,-1))&amp;"/"&amp;YEAR(EDATE(A51,-1)))),-1,Feriados!$A$2:$A$1037),1,Feriados!$A$2:$A$1037)</f>
        <v>44851</v>
      </c>
      <c r="H51" s="183">
        <f t="shared" si="7"/>
        <v>6370.34</v>
      </c>
      <c r="I51" s="184" t="str">
        <f>IF(P51="após","",NETWORKDAYS(G51,A51-1,Feriados!$A$2:$A$1037))</f>
        <v/>
      </c>
      <c r="J51" s="184" t="str">
        <f>IF(P51="após","",NETWORKDAYS(G51,K51-1,Feriados!$A$2:$A$1037))</f>
        <v/>
      </c>
      <c r="K51" s="177">
        <f>WORKDAY(WORKDAY(DATEVALUE(CONCATENATE("15/"&amp;MONTH(A51)&amp;"/"&amp;YEAR(A51))),-1,Feriados!$A$2:$A$1037),1,Feriados!$A$2:$A$1037)</f>
        <v>44881</v>
      </c>
      <c r="L51" s="183">
        <f t="shared" si="6"/>
        <v>6443.6</v>
      </c>
      <c r="M51" s="182">
        <f>WORKDAY(WORKDAY(DATEVALUE(CONCATENATE("15/"&amp;MONTH(EDATE(A51,1))&amp;"/"&amp;YEAR(EDATE(A51,1)))),-1,Feriados!$A$2:$A$1037),1,Feriados!$A$2:$A$1037)</f>
        <v>44910</v>
      </c>
      <c r="N51" s="186">
        <f>IF(P51="antes","",NETWORKDAYS(K51,A51-1,Feriados!$A$2:$A$1037))</f>
        <v>7</v>
      </c>
      <c r="O51" s="186">
        <f>IF(P51="antes","",NETWORKDAYS(K51,M51-1,Feriados!$A$2:$A$1037))</f>
        <v>21</v>
      </c>
      <c r="P51" s="172" t="str">
        <f t="shared" si="10"/>
        <v>Após</v>
      </c>
      <c r="Q51" s="188">
        <f t="shared" si="11"/>
        <v>6468.206381</v>
      </c>
      <c r="R51" s="145"/>
    </row>
    <row r="52" spans="1:18" x14ac:dyDescent="0.3">
      <c r="A52" s="180">
        <v>44893</v>
      </c>
      <c r="B52" s="189">
        <f t="shared" si="0"/>
        <v>6471.73</v>
      </c>
      <c r="C52" s="181">
        <f t="shared" si="8"/>
        <v>1.1499999999999999</v>
      </c>
      <c r="D52" s="178">
        <f t="shared" si="9"/>
        <v>5.4420001824295738E-2</v>
      </c>
      <c r="E52" s="179">
        <f t="shared" si="5"/>
        <v>1.0129694296487484</v>
      </c>
      <c r="F52" s="178">
        <f t="shared" si="2"/>
        <v>1.2969429648748365</v>
      </c>
      <c r="G52" s="182">
        <f>WORKDAY(WORKDAY(DATEVALUE(CONCATENATE("15/"&amp;MONTH(EDATE($A52,-1))&amp;"/"&amp;YEAR(EDATE(A52,-1)))),-1,Feriados!$A$2:$A$1037),1,Feriados!$A$2:$A$1037)</f>
        <v>44851</v>
      </c>
      <c r="H52" s="183">
        <f t="shared" si="7"/>
        <v>6370.34</v>
      </c>
      <c r="I52" s="184" t="str">
        <f>IF(P52="após","",NETWORKDAYS(G52,A52-1,Feriados!$A$2:$A$1037))</f>
        <v/>
      </c>
      <c r="J52" s="184" t="str">
        <f>IF(P52="após","",NETWORKDAYS(G52,K52-1,Feriados!$A$2:$A$1037))</f>
        <v/>
      </c>
      <c r="K52" s="177">
        <f>WORKDAY(WORKDAY(DATEVALUE(CONCATENATE("15/"&amp;MONTH(A52)&amp;"/"&amp;YEAR(A52))),-1,Feriados!$A$2:$A$1037),1,Feriados!$A$2:$A$1037)</f>
        <v>44881</v>
      </c>
      <c r="L52" s="183">
        <f t="shared" si="6"/>
        <v>6443.6</v>
      </c>
      <c r="M52" s="182">
        <f>WORKDAY(WORKDAY(DATEVALUE(CONCATENATE("15/"&amp;MONTH(EDATE(A52,1))&amp;"/"&amp;YEAR(EDATE(A52,1)))),-1,Feriados!$A$2:$A$1037),1,Feriados!$A$2:$A$1037)</f>
        <v>44910</v>
      </c>
      <c r="N52" s="186">
        <f>IF(P52="antes","",NETWORKDAYS(K52,A52-1,Feriados!$A$2:$A$1037))</f>
        <v>8</v>
      </c>
      <c r="O52" s="186">
        <f>IF(P52="antes","",NETWORKDAYS(K52,M52-1,Feriados!$A$2:$A$1037))</f>
        <v>21</v>
      </c>
      <c r="P52" s="172" t="str">
        <f t="shared" si="10"/>
        <v>Após</v>
      </c>
      <c r="Q52" s="188">
        <f t="shared" si="11"/>
        <v>6471.729241</v>
      </c>
      <c r="R52" s="145"/>
    </row>
    <row r="53" spans="1:18" x14ac:dyDescent="0.3">
      <c r="A53" s="180">
        <v>44894</v>
      </c>
      <c r="B53" s="189">
        <f t="shared" si="0"/>
        <v>6475.25</v>
      </c>
      <c r="C53" s="181">
        <f t="shared" si="8"/>
        <v>1.1499999999999999</v>
      </c>
      <c r="D53" s="178">
        <f t="shared" si="9"/>
        <v>5.4390402566251161E-2</v>
      </c>
      <c r="E53" s="179">
        <f t="shared" si="5"/>
        <v>1.0135203877994075</v>
      </c>
      <c r="F53" s="178">
        <f t="shared" si="2"/>
        <v>1.3520387799407452</v>
      </c>
      <c r="G53" s="182">
        <f>WORKDAY(WORKDAY(DATEVALUE(CONCATENATE("15/"&amp;MONTH(EDATE($A53,-1))&amp;"/"&amp;YEAR(EDATE(A53,-1)))),-1,Feriados!$A$2:$A$1037),1,Feriados!$A$2:$A$1037)</f>
        <v>44851</v>
      </c>
      <c r="H53" s="183">
        <f t="shared" si="7"/>
        <v>6370.34</v>
      </c>
      <c r="I53" s="184" t="str">
        <f>IF(P53="após","",NETWORKDAYS(G53,A53-1,Feriados!$A$2:$A$1037))</f>
        <v/>
      </c>
      <c r="J53" s="184" t="str">
        <f>IF(P53="após","",NETWORKDAYS(G53,K53-1,Feriados!$A$2:$A$1037))</f>
        <v/>
      </c>
      <c r="K53" s="177">
        <f>WORKDAY(WORKDAY(DATEVALUE(CONCATENATE("15/"&amp;MONTH(A53)&amp;"/"&amp;YEAR(A53))),-1,Feriados!$A$2:$A$1037),1,Feriados!$A$2:$A$1037)</f>
        <v>44881</v>
      </c>
      <c r="L53" s="183">
        <f t="shared" si="6"/>
        <v>6443.6</v>
      </c>
      <c r="M53" s="182">
        <f>WORKDAY(WORKDAY(DATEVALUE(CONCATENATE("15/"&amp;MONTH(EDATE(A53,1))&amp;"/"&amp;YEAR(EDATE(A53,1)))),-1,Feriados!$A$2:$A$1037),1,Feriados!$A$2:$A$1037)</f>
        <v>44910</v>
      </c>
      <c r="N53" s="186">
        <f>IF(P53="antes","",NETWORKDAYS(K53,A53-1,Feriados!$A$2:$A$1037))</f>
        <v>9</v>
      </c>
      <c r="O53" s="186">
        <f>IF(P53="antes","",NETWORKDAYS(K53,M53-1,Feriados!$A$2:$A$1037))</f>
        <v>21</v>
      </c>
      <c r="P53" s="172" t="str">
        <f t="shared" si="10"/>
        <v>Após</v>
      </c>
      <c r="Q53" s="188">
        <f t="shared" si="11"/>
        <v>6475.254019</v>
      </c>
      <c r="R53" s="145"/>
    </row>
    <row r="54" spans="1:18" x14ac:dyDescent="0.3">
      <c r="A54" s="180">
        <v>44895</v>
      </c>
      <c r="B54" s="189">
        <f t="shared" si="0"/>
        <v>6478.78</v>
      </c>
      <c r="C54" s="181">
        <f t="shared" si="8"/>
        <v>1.1499999999999999</v>
      </c>
      <c r="D54" s="178">
        <f t="shared" si="9"/>
        <v>5.4515269680699419E-2</v>
      </c>
      <c r="E54" s="179">
        <f t="shared" si="5"/>
        <v>1.0140729111720852</v>
      </c>
      <c r="F54" s="178">
        <f t="shared" si="2"/>
        <v>1.4072911172085201</v>
      </c>
      <c r="G54" s="182">
        <f>WORKDAY(WORKDAY(DATEVALUE(CONCATENATE("15/"&amp;MONTH(EDATE($A54,-1))&amp;"/"&amp;YEAR(EDATE(A54,-1)))),-1,Feriados!$A$2:$A$1037),1,Feriados!$A$2:$A$1037)</f>
        <v>44851</v>
      </c>
      <c r="H54" s="183">
        <f t="shared" si="7"/>
        <v>6370.34</v>
      </c>
      <c r="I54" s="184" t="str">
        <f>IF(P54="após","",NETWORKDAYS(G54,A54-1,Feriados!$A$2:$A$1037))</f>
        <v/>
      </c>
      <c r="J54" s="184" t="str">
        <f>IF(P54="após","",NETWORKDAYS(G54,K54-1,Feriados!$A$2:$A$1037))</f>
        <v/>
      </c>
      <c r="K54" s="177">
        <f>WORKDAY(WORKDAY(DATEVALUE(CONCATENATE("15/"&amp;MONTH(A54)&amp;"/"&amp;YEAR(A54))),-1,Feriados!$A$2:$A$1037),1,Feriados!$A$2:$A$1037)</f>
        <v>44881</v>
      </c>
      <c r="L54" s="183">
        <f t="shared" si="6"/>
        <v>6443.6</v>
      </c>
      <c r="M54" s="182">
        <f>WORKDAY(WORKDAY(DATEVALUE(CONCATENATE("15/"&amp;MONTH(EDATE(A54,1))&amp;"/"&amp;YEAR(EDATE(A54,1)))),-1,Feriados!$A$2:$A$1037),1,Feriados!$A$2:$A$1037)</f>
        <v>44910</v>
      </c>
      <c r="N54" s="186">
        <f>IF(P54="antes","",NETWORKDAYS(K54,A54-1,Feriados!$A$2:$A$1037))</f>
        <v>10</v>
      </c>
      <c r="O54" s="186">
        <f>IF(P54="antes","",NETWORKDAYS(K54,M54-1,Feriados!$A$2:$A$1037))</f>
        <v>21</v>
      </c>
      <c r="P54" s="172" t="str">
        <f t="shared" si="10"/>
        <v>Após</v>
      </c>
      <c r="Q54" s="188">
        <f t="shared" si="11"/>
        <v>6478.780718</v>
      </c>
      <c r="R54" s="145"/>
    </row>
    <row r="55" spans="1:18" x14ac:dyDescent="0.3">
      <c r="A55" s="180">
        <v>44896</v>
      </c>
      <c r="B55" s="189">
        <f t="shared" si="0"/>
        <v>6482.31</v>
      </c>
      <c r="C55" s="181">
        <f t="shared" si="8"/>
        <v>1.1499999999999999</v>
      </c>
      <c r="D55" s="178">
        <f t="shared" si="9"/>
        <v>5.448556672706939E-2</v>
      </c>
      <c r="E55" s="179">
        <f t="shared" si="5"/>
        <v>1.0146254345447629</v>
      </c>
      <c r="F55" s="178">
        <f t="shared" si="2"/>
        <v>1.462543454476295</v>
      </c>
      <c r="G55" s="182">
        <f>WORKDAY(WORKDAY(DATEVALUE(CONCATENATE("15/"&amp;MONTH(EDATE($A55,-1))&amp;"/"&amp;YEAR(EDATE(A55,-1)))),-1,Feriados!$A$2:$A$1037),1,Feriados!$A$2:$A$1037)</f>
        <v>44881</v>
      </c>
      <c r="H55" s="183">
        <f t="shared" si="7"/>
        <v>6443.6</v>
      </c>
      <c r="I55" s="184">
        <f>IF(P55="após","",NETWORKDAYS(G55,A55-1,Feriados!$A$2:$A$1037))</f>
        <v>11</v>
      </c>
      <c r="J55" s="184">
        <f>IF(P55="após","",NETWORKDAYS(G55,K55-1,Feriados!$A$2:$A$1037))</f>
        <v>21</v>
      </c>
      <c r="K55" s="177">
        <f>WORKDAY(WORKDAY(DATEVALUE(CONCATENATE("15/"&amp;MONTH(A55)&amp;"/"&amp;YEAR(A55))),-1,Feriados!$A$2:$A$1037),1,Feriados!$A$2:$A$1037)</f>
        <v>44910</v>
      </c>
      <c r="L55" s="183">
        <f t="shared" si="6"/>
        <v>6517.7</v>
      </c>
      <c r="M55" s="182">
        <f>WORKDAY(WORKDAY(DATEVALUE(CONCATENATE("15/"&amp;MONTH(EDATE(A55,1))&amp;"/"&amp;YEAR(EDATE(A55,1)))),-1,Feriados!$A$2:$A$1037),1,Feriados!$A$2:$A$1037)</f>
        <v>44942</v>
      </c>
      <c r="N55" s="186" t="str">
        <f>IF(P55="antes","",NETWORKDAYS(K55,A55-1,Feriados!$A$2:$A$1037))</f>
        <v/>
      </c>
      <c r="O55" s="186" t="str">
        <f>IF(P55="antes","",NETWORKDAYS(K55,M55-1,Feriados!$A$2:$A$1037))</f>
        <v/>
      </c>
      <c r="P55" s="172" t="str">
        <f t="shared" si="10"/>
        <v>Antes</v>
      </c>
      <c r="Q55" s="188">
        <f t="shared" si="11"/>
        <v>6482.3093360000003</v>
      </c>
      <c r="R55" s="145"/>
    </row>
    <row r="56" spans="1:18" x14ac:dyDescent="0.3">
      <c r="A56" s="180">
        <v>44897</v>
      </c>
      <c r="B56" s="189">
        <f t="shared" si="0"/>
        <v>6485.84</v>
      </c>
      <c r="C56" s="181">
        <f t="shared" si="8"/>
        <v>1.1499999999999999</v>
      </c>
      <c r="D56" s="178">
        <f t="shared" si="9"/>
        <v>5.445589612345092E-2</v>
      </c>
      <c r="E56" s="179">
        <f t="shared" si="5"/>
        <v>1.0151779579174407</v>
      </c>
      <c r="F56" s="178">
        <f t="shared" si="2"/>
        <v>1.5177957917440699</v>
      </c>
      <c r="G56" s="182">
        <f>WORKDAY(WORKDAY(DATEVALUE(CONCATENATE("15/"&amp;MONTH(EDATE($A56,-1))&amp;"/"&amp;YEAR(EDATE(A56,-1)))),-1,Feriados!$A$2:$A$1037),1,Feriados!$A$2:$A$1037)</f>
        <v>44881</v>
      </c>
      <c r="H56" s="183">
        <f t="shared" si="7"/>
        <v>6443.6</v>
      </c>
      <c r="I56" s="184">
        <f>IF(P56="após","",NETWORKDAYS(G56,A56-1,Feriados!$A$2:$A$1037))</f>
        <v>12</v>
      </c>
      <c r="J56" s="184">
        <f>IF(P56="após","",NETWORKDAYS(G56,K56-1,Feriados!$A$2:$A$1037))</f>
        <v>21</v>
      </c>
      <c r="K56" s="177">
        <f>WORKDAY(WORKDAY(DATEVALUE(CONCATENATE("15/"&amp;MONTH(A56)&amp;"/"&amp;YEAR(A56))),-1,Feriados!$A$2:$A$1037),1,Feriados!$A$2:$A$1037)</f>
        <v>44910</v>
      </c>
      <c r="L56" s="183">
        <f t="shared" si="6"/>
        <v>6517.7</v>
      </c>
      <c r="M56" s="182">
        <f>WORKDAY(WORKDAY(DATEVALUE(CONCATENATE("15/"&amp;MONTH(EDATE(A56,1))&amp;"/"&amp;YEAR(EDATE(A56,1)))),-1,Feriados!$A$2:$A$1037),1,Feriados!$A$2:$A$1037)</f>
        <v>44942</v>
      </c>
      <c r="N56" s="186" t="str">
        <f>IF(P56="antes","",NETWORKDAYS(K56,A56-1,Feriados!$A$2:$A$1037))</f>
        <v/>
      </c>
      <c r="O56" s="186" t="str">
        <f>IF(P56="antes","",NETWORKDAYS(K56,M56-1,Feriados!$A$2:$A$1037))</f>
        <v/>
      </c>
      <c r="P56" s="172" t="str">
        <f t="shared" si="10"/>
        <v>Antes</v>
      </c>
      <c r="Q56" s="188">
        <f t="shared" si="11"/>
        <v>6485.8398770000003</v>
      </c>
      <c r="R56" s="145"/>
    </row>
    <row r="57" spans="1:18" x14ac:dyDescent="0.3">
      <c r="A57" s="180">
        <v>44900</v>
      </c>
      <c r="B57" s="189">
        <f t="shared" si="0"/>
        <v>6489.37</v>
      </c>
      <c r="C57" s="181">
        <f t="shared" si="8"/>
        <v>1.1499999999999999</v>
      </c>
      <c r="D57" s="178">
        <f t="shared" si="9"/>
        <v>5.4426257817019597E-2</v>
      </c>
      <c r="E57" s="179">
        <f t="shared" si="5"/>
        <v>1.0157304812901184</v>
      </c>
      <c r="F57" s="178">
        <f t="shared" si="2"/>
        <v>1.5730481290118448</v>
      </c>
      <c r="G57" s="182">
        <f>WORKDAY(WORKDAY(DATEVALUE(CONCATENATE("15/"&amp;MONTH(EDATE($A57,-1))&amp;"/"&amp;YEAR(EDATE(A57,-1)))),-1,Feriados!$A$2:$A$1037),1,Feriados!$A$2:$A$1037)</f>
        <v>44881</v>
      </c>
      <c r="H57" s="183">
        <f t="shared" si="7"/>
        <v>6443.6</v>
      </c>
      <c r="I57" s="184">
        <f>IF(P57="após","",NETWORKDAYS(G57,A57-1,Feriados!$A$2:$A$1037))</f>
        <v>13</v>
      </c>
      <c r="J57" s="184">
        <f>IF(P57="após","",NETWORKDAYS(G57,K57-1,Feriados!$A$2:$A$1037))</f>
        <v>21</v>
      </c>
      <c r="K57" s="177">
        <f>WORKDAY(WORKDAY(DATEVALUE(CONCATENATE("15/"&amp;MONTH(A57)&amp;"/"&amp;YEAR(A57))),-1,Feriados!$A$2:$A$1037),1,Feriados!$A$2:$A$1037)</f>
        <v>44910</v>
      </c>
      <c r="L57" s="183">
        <f t="shared" si="6"/>
        <v>6517.7</v>
      </c>
      <c r="M57" s="182">
        <f>WORKDAY(WORKDAY(DATEVALUE(CONCATENATE("15/"&amp;MONTH(EDATE(A57,1))&amp;"/"&amp;YEAR(EDATE(A57,1)))),-1,Feriados!$A$2:$A$1037),1,Feriados!$A$2:$A$1037)</f>
        <v>44942</v>
      </c>
      <c r="N57" s="186" t="str">
        <f>IF(P57="antes","",NETWORKDAYS(K57,A57-1,Feriados!$A$2:$A$1037))</f>
        <v/>
      </c>
      <c r="O57" s="186" t="str">
        <f>IF(P57="antes","",NETWORKDAYS(K57,M57-1,Feriados!$A$2:$A$1037))</f>
        <v/>
      </c>
      <c r="P57" s="172" t="str">
        <f t="shared" si="10"/>
        <v>Antes</v>
      </c>
      <c r="Q57" s="188">
        <f t="shared" si="11"/>
        <v>6489.3723410000002</v>
      </c>
      <c r="R57" s="145"/>
    </row>
    <row r="58" spans="1:18" x14ac:dyDescent="0.3">
      <c r="A58" s="180">
        <v>44901</v>
      </c>
      <c r="B58" s="189">
        <f t="shared" si="0"/>
        <v>6492.91</v>
      </c>
      <c r="C58" s="181">
        <f t="shared" si="8"/>
        <v>1.1499999999999999</v>
      </c>
      <c r="D58" s="178">
        <f t="shared" si="9"/>
        <v>5.455074991871367E-2</v>
      </c>
      <c r="E58" s="179">
        <f t="shared" si="5"/>
        <v>1.0162845698848151</v>
      </c>
      <c r="F58" s="178">
        <f t="shared" si="2"/>
        <v>1.6284569884815081</v>
      </c>
      <c r="G58" s="182">
        <f>WORKDAY(WORKDAY(DATEVALUE(CONCATENATE("15/"&amp;MONTH(EDATE($A58,-1))&amp;"/"&amp;YEAR(EDATE(A58,-1)))),-1,Feriados!$A$2:$A$1037),1,Feriados!$A$2:$A$1037)</f>
        <v>44881</v>
      </c>
      <c r="H58" s="183">
        <f t="shared" si="7"/>
        <v>6443.6</v>
      </c>
      <c r="I58" s="184">
        <f>IF(P58="após","",NETWORKDAYS(G58,A58-1,Feriados!$A$2:$A$1037))</f>
        <v>14</v>
      </c>
      <c r="J58" s="184">
        <f>IF(P58="após","",NETWORKDAYS(G58,K58-1,Feriados!$A$2:$A$1037))</f>
        <v>21</v>
      </c>
      <c r="K58" s="177">
        <f>WORKDAY(WORKDAY(DATEVALUE(CONCATENATE("15/"&amp;MONTH(A58)&amp;"/"&amp;YEAR(A58))),-1,Feriados!$A$2:$A$1037),1,Feriados!$A$2:$A$1037)</f>
        <v>44910</v>
      </c>
      <c r="L58" s="183">
        <f t="shared" si="6"/>
        <v>6517.7</v>
      </c>
      <c r="M58" s="182">
        <f>WORKDAY(WORKDAY(DATEVALUE(CONCATENATE("15/"&amp;MONTH(EDATE(A58,1))&amp;"/"&amp;YEAR(EDATE(A58,1)))),-1,Feriados!$A$2:$A$1037),1,Feriados!$A$2:$A$1037)</f>
        <v>44942</v>
      </c>
      <c r="N58" s="186" t="str">
        <f>IF(P58="antes","",NETWORKDAYS(K58,A58-1,Feriados!$A$2:$A$1037))</f>
        <v/>
      </c>
      <c r="O58" s="186" t="str">
        <f>IF(P58="antes","",NETWORKDAYS(K58,M58-1,Feriados!$A$2:$A$1037))</f>
        <v/>
      </c>
      <c r="P58" s="172" t="str">
        <f t="shared" si="10"/>
        <v>Antes</v>
      </c>
      <c r="Q58" s="188">
        <f t="shared" si="11"/>
        <v>6492.9067279999999</v>
      </c>
      <c r="R58" s="145"/>
    </row>
    <row r="59" spans="1:18" x14ac:dyDescent="0.3">
      <c r="A59" s="180">
        <v>44902</v>
      </c>
      <c r="B59" s="189">
        <f t="shared" si="0"/>
        <v>6496.44</v>
      </c>
      <c r="C59" s="181">
        <f t="shared" si="8"/>
        <v>1.1499999999999999</v>
      </c>
      <c r="D59" s="178">
        <f t="shared" si="9"/>
        <v>5.4366994152088566E-2</v>
      </c>
      <c r="E59" s="179">
        <f t="shared" si="5"/>
        <v>1.0168370932574928</v>
      </c>
      <c r="F59" s="178">
        <f t="shared" si="2"/>
        <v>1.683709325749283</v>
      </c>
      <c r="G59" s="182">
        <f>WORKDAY(WORKDAY(DATEVALUE(CONCATENATE("15/"&amp;MONTH(EDATE($A59,-1))&amp;"/"&amp;YEAR(EDATE(A59,-1)))),-1,Feriados!$A$2:$A$1037),1,Feriados!$A$2:$A$1037)</f>
        <v>44881</v>
      </c>
      <c r="H59" s="183">
        <f t="shared" si="7"/>
        <v>6443.6</v>
      </c>
      <c r="I59" s="184">
        <f>IF(P59="após","",NETWORKDAYS(G59,A59-1,Feriados!$A$2:$A$1037))</f>
        <v>15</v>
      </c>
      <c r="J59" s="184">
        <f>IF(P59="após","",NETWORKDAYS(G59,K59-1,Feriados!$A$2:$A$1037))</f>
        <v>21</v>
      </c>
      <c r="K59" s="177">
        <f>WORKDAY(WORKDAY(DATEVALUE(CONCATENATE("15/"&amp;MONTH(A59)&amp;"/"&amp;YEAR(A59))),-1,Feriados!$A$2:$A$1037),1,Feriados!$A$2:$A$1037)</f>
        <v>44910</v>
      </c>
      <c r="L59" s="183">
        <f t="shared" si="6"/>
        <v>6517.7</v>
      </c>
      <c r="M59" s="182">
        <f>WORKDAY(WORKDAY(DATEVALUE(CONCATENATE("15/"&amp;MONTH(EDATE(A59,1))&amp;"/"&amp;YEAR(EDATE(A59,1)))),-1,Feriados!$A$2:$A$1037),1,Feriados!$A$2:$A$1037)</f>
        <v>44942</v>
      </c>
      <c r="N59" s="186" t="str">
        <f>IF(P59="antes","",NETWORKDAYS(K59,A59-1,Feriados!$A$2:$A$1037))</f>
        <v/>
      </c>
      <c r="O59" s="186" t="str">
        <f>IF(P59="antes","",NETWORKDAYS(K59,M59-1,Feriados!$A$2:$A$1037))</f>
        <v/>
      </c>
      <c r="P59" s="172" t="str">
        <f t="shared" si="10"/>
        <v>Antes</v>
      </c>
      <c r="Q59" s="188">
        <f t="shared" si="11"/>
        <v>6496.4430410000004</v>
      </c>
      <c r="R59" s="145"/>
    </row>
    <row r="60" spans="1:18" x14ac:dyDescent="0.3">
      <c r="A60" s="180">
        <v>44903</v>
      </c>
      <c r="B60" s="189">
        <f t="shared" si="0"/>
        <v>6499.98</v>
      </c>
      <c r="C60" s="181">
        <f t="shared" si="8"/>
        <v>1.1499999999999999</v>
      </c>
      <c r="D60" s="178">
        <f t="shared" si="9"/>
        <v>5.4491382972821079E-2</v>
      </c>
      <c r="E60" s="179">
        <f t="shared" si="5"/>
        <v>1.0173911818521895</v>
      </c>
      <c r="F60" s="178">
        <f t="shared" si="2"/>
        <v>1.7391181852189463</v>
      </c>
      <c r="G60" s="182">
        <f>WORKDAY(WORKDAY(DATEVALUE(CONCATENATE("15/"&amp;MONTH(EDATE($A60,-1))&amp;"/"&amp;YEAR(EDATE(A60,-1)))),-1,Feriados!$A$2:$A$1037),1,Feriados!$A$2:$A$1037)</f>
        <v>44881</v>
      </c>
      <c r="H60" s="183">
        <f t="shared" si="7"/>
        <v>6443.6</v>
      </c>
      <c r="I60" s="184">
        <f>IF(P60="após","",NETWORKDAYS(G60,A60-1,Feriados!$A$2:$A$1037))</f>
        <v>16</v>
      </c>
      <c r="J60" s="184">
        <f>IF(P60="após","",NETWORKDAYS(G60,K60-1,Feriados!$A$2:$A$1037))</f>
        <v>21</v>
      </c>
      <c r="K60" s="177">
        <f>WORKDAY(WORKDAY(DATEVALUE(CONCATENATE("15/"&amp;MONTH(A60)&amp;"/"&amp;YEAR(A60))),-1,Feriados!$A$2:$A$1037),1,Feriados!$A$2:$A$1037)</f>
        <v>44910</v>
      </c>
      <c r="L60" s="183">
        <f t="shared" si="6"/>
        <v>6517.7</v>
      </c>
      <c r="M60" s="182">
        <f>WORKDAY(WORKDAY(DATEVALUE(CONCATENATE("15/"&amp;MONTH(EDATE(A60,1))&amp;"/"&amp;YEAR(EDATE(A60,1)))),-1,Feriados!$A$2:$A$1037),1,Feriados!$A$2:$A$1037)</f>
        <v>44942</v>
      </c>
      <c r="N60" s="186" t="str">
        <f>IF(P60="antes","",NETWORKDAYS(K60,A60-1,Feriados!$A$2:$A$1037))</f>
        <v/>
      </c>
      <c r="O60" s="186" t="str">
        <f>IF(P60="antes","",NETWORKDAYS(K60,M60-1,Feriados!$A$2:$A$1037))</f>
        <v/>
      </c>
      <c r="P60" s="172" t="str">
        <f t="shared" si="10"/>
        <v>Antes</v>
      </c>
      <c r="Q60" s="188">
        <f t="shared" si="11"/>
        <v>6499.98128</v>
      </c>
      <c r="R60" s="145"/>
    </row>
    <row r="61" spans="1:18" x14ac:dyDescent="0.3">
      <c r="A61" s="180">
        <v>44904</v>
      </c>
      <c r="B61" s="189">
        <f t="shared" si="0"/>
        <v>6503.52</v>
      </c>
      <c r="C61" s="181">
        <f t="shared" si="8"/>
        <v>1.1499999999999999</v>
      </c>
      <c r="D61" s="178">
        <f t="shared" si="9"/>
        <v>5.4461706036024182E-2</v>
      </c>
      <c r="E61" s="179">
        <f t="shared" si="5"/>
        <v>1.0179452704468863</v>
      </c>
      <c r="F61" s="178">
        <f t="shared" si="2"/>
        <v>1.7945270446886319</v>
      </c>
      <c r="G61" s="182">
        <f>WORKDAY(WORKDAY(DATEVALUE(CONCATENATE("15/"&amp;MONTH(EDATE($A61,-1))&amp;"/"&amp;YEAR(EDATE(A61,-1)))),-1,Feriados!$A$2:$A$1037),1,Feriados!$A$2:$A$1037)</f>
        <v>44881</v>
      </c>
      <c r="H61" s="183">
        <f t="shared" si="7"/>
        <v>6443.6</v>
      </c>
      <c r="I61" s="184">
        <f>IF(P61="após","",NETWORKDAYS(G61,A61-1,Feriados!$A$2:$A$1037))</f>
        <v>17</v>
      </c>
      <c r="J61" s="184">
        <f>IF(P61="após","",NETWORKDAYS(G61,K61-1,Feriados!$A$2:$A$1037))</f>
        <v>21</v>
      </c>
      <c r="K61" s="177">
        <f>WORKDAY(WORKDAY(DATEVALUE(CONCATENATE("15/"&amp;MONTH(A61)&amp;"/"&amp;YEAR(A61))),-1,Feriados!$A$2:$A$1037),1,Feriados!$A$2:$A$1037)</f>
        <v>44910</v>
      </c>
      <c r="L61" s="183">
        <f t="shared" si="6"/>
        <v>6517.7</v>
      </c>
      <c r="M61" s="182">
        <f>WORKDAY(WORKDAY(DATEVALUE(CONCATENATE("15/"&amp;MONTH(EDATE(A61,1))&amp;"/"&amp;YEAR(EDATE(A61,1)))),-1,Feriados!$A$2:$A$1037),1,Feriados!$A$2:$A$1037)</f>
        <v>44942</v>
      </c>
      <c r="N61" s="186" t="str">
        <f>IF(P61="antes","",NETWORKDAYS(K61,A61-1,Feriados!$A$2:$A$1037))</f>
        <v/>
      </c>
      <c r="O61" s="186" t="str">
        <f>IF(P61="antes","",NETWORKDAYS(K61,M61-1,Feriados!$A$2:$A$1037))</f>
        <v/>
      </c>
      <c r="P61" s="172" t="str">
        <f t="shared" si="10"/>
        <v>Antes</v>
      </c>
      <c r="Q61" s="188">
        <f t="shared" si="11"/>
        <v>6503.5214450000003</v>
      </c>
      <c r="R61" s="145"/>
    </row>
    <row r="62" spans="1:18" x14ac:dyDescent="0.3">
      <c r="A62" s="180">
        <v>44907</v>
      </c>
      <c r="B62" s="189">
        <f t="shared" si="0"/>
        <v>6507.06</v>
      </c>
      <c r="C62" s="181">
        <f t="shared" si="8"/>
        <v>1.1499999999999999</v>
      </c>
      <c r="D62" s="178">
        <f t="shared" si="9"/>
        <v>5.4432061406739507E-2</v>
      </c>
      <c r="E62" s="179">
        <f t="shared" si="5"/>
        <v>1.018499359041583</v>
      </c>
      <c r="F62" s="178">
        <f t="shared" si="2"/>
        <v>1.8499359041582952</v>
      </c>
      <c r="G62" s="182">
        <f>WORKDAY(WORKDAY(DATEVALUE(CONCATENATE("15/"&amp;MONTH(EDATE($A62,-1))&amp;"/"&amp;YEAR(EDATE(A62,-1)))),-1,Feriados!$A$2:$A$1037),1,Feriados!$A$2:$A$1037)</f>
        <v>44881</v>
      </c>
      <c r="H62" s="183">
        <f t="shared" si="7"/>
        <v>6443.6</v>
      </c>
      <c r="I62" s="184">
        <f>IF(P62="após","",NETWORKDAYS(G62,A62-1,Feriados!$A$2:$A$1037))</f>
        <v>18</v>
      </c>
      <c r="J62" s="184">
        <f>IF(P62="após","",NETWORKDAYS(G62,K62-1,Feriados!$A$2:$A$1037))</f>
        <v>21</v>
      </c>
      <c r="K62" s="177">
        <f>WORKDAY(WORKDAY(DATEVALUE(CONCATENATE("15/"&amp;MONTH(A62)&amp;"/"&amp;YEAR(A62))),-1,Feriados!$A$2:$A$1037),1,Feriados!$A$2:$A$1037)</f>
        <v>44910</v>
      </c>
      <c r="L62" s="183">
        <f t="shared" si="6"/>
        <v>6517.7</v>
      </c>
      <c r="M62" s="182">
        <f>WORKDAY(WORKDAY(DATEVALUE(CONCATENATE("15/"&amp;MONTH(EDATE(A62,1))&amp;"/"&amp;YEAR(EDATE(A62,1)))),-1,Feriados!$A$2:$A$1037),1,Feriados!$A$2:$A$1037)</f>
        <v>44942</v>
      </c>
      <c r="N62" s="186" t="str">
        <f>IF(P62="antes","",NETWORKDAYS(K62,A62-1,Feriados!$A$2:$A$1037))</f>
        <v/>
      </c>
      <c r="O62" s="186" t="str">
        <f>IF(P62="antes","",NETWORKDAYS(K62,M62-1,Feriados!$A$2:$A$1037))</f>
        <v/>
      </c>
      <c r="P62" s="172" t="str">
        <f t="shared" si="10"/>
        <v>Antes</v>
      </c>
      <c r="Q62" s="188">
        <f t="shared" si="11"/>
        <v>6507.0635389999998</v>
      </c>
      <c r="R62" s="145"/>
    </row>
    <row r="63" spans="1:18" x14ac:dyDescent="0.3">
      <c r="A63" s="180">
        <v>44908</v>
      </c>
      <c r="B63" s="189">
        <f t="shared" si="0"/>
        <v>6510.61</v>
      </c>
      <c r="C63" s="181">
        <f t="shared" si="8"/>
        <v>1.1499999999999999</v>
      </c>
      <c r="D63" s="178">
        <f t="shared" si="9"/>
        <v>5.455612826683609E-2</v>
      </c>
      <c r="E63" s="179">
        <f t="shared" si="5"/>
        <v>1.0190550128582987</v>
      </c>
      <c r="F63" s="178">
        <f t="shared" si="2"/>
        <v>1.9055012858298692</v>
      </c>
      <c r="G63" s="182">
        <f>WORKDAY(WORKDAY(DATEVALUE(CONCATENATE("15/"&amp;MONTH(EDATE($A63,-1))&amp;"/"&amp;YEAR(EDATE(A63,-1)))),-1,Feriados!$A$2:$A$1037),1,Feriados!$A$2:$A$1037)</f>
        <v>44881</v>
      </c>
      <c r="H63" s="183">
        <f t="shared" si="7"/>
        <v>6443.6</v>
      </c>
      <c r="I63" s="184">
        <f>IF(P63="após","",NETWORKDAYS(G63,A63-1,Feriados!$A$2:$A$1037))</f>
        <v>19</v>
      </c>
      <c r="J63" s="184">
        <f>IF(P63="após","",NETWORKDAYS(G63,K63-1,Feriados!$A$2:$A$1037))</f>
        <v>21</v>
      </c>
      <c r="K63" s="177">
        <f>WORKDAY(WORKDAY(DATEVALUE(CONCATENATE("15/"&amp;MONTH(A63)&amp;"/"&amp;YEAR(A63))),-1,Feriados!$A$2:$A$1037),1,Feriados!$A$2:$A$1037)</f>
        <v>44910</v>
      </c>
      <c r="L63" s="183">
        <f t="shared" si="6"/>
        <v>6517.7</v>
      </c>
      <c r="M63" s="182">
        <f>WORKDAY(WORKDAY(DATEVALUE(CONCATENATE("15/"&amp;MONTH(EDATE(A63,1))&amp;"/"&amp;YEAR(EDATE(A63,1)))),-1,Feriados!$A$2:$A$1037),1,Feriados!$A$2:$A$1037)</f>
        <v>44942</v>
      </c>
      <c r="N63" s="186" t="str">
        <f>IF(P63="antes","",NETWORKDAYS(K63,A63-1,Feriados!$A$2:$A$1037))</f>
        <v/>
      </c>
      <c r="O63" s="186" t="str">
        <f>IF(P63="antes","",NETWORKDAYS(K63,M63-1,Feriados!$A$2:$A$1037))</f>
        <v/>
      </c>
      <c r="P63" s="172" t="str">
        <f t="shared" si="10"/>
        <v>Antes</v>
      </c>
      <c r="Q63" s="188">
        <f t="shared" si="11"/>
        <v>6510.6075620000001</v>
      </c>
      <c r="R63" s="145"/>
    </row>
    <row r="64" spans="1:18" x14ac:dyDescent="0.3">
      <c r="A64" s="180">
        <v>44909</v>
      </c>
      <c r="B64" s="189">
        <f t="shared" si="0"/>
        <v>6514.15</v>
      </c>
      <c r="C64" s="181">
        <f t="shared" si="8"/>
        <v>1.1499999999999999</v>
      </c>
      <c r="D64" s="178">
        <f t="shared" si="9"/>
        <v>5.4372785345768726E-2</v>
      </c>
      <c r="E64" s="179">
        <f t="shared" si="5"/>
        <v>1.0196091014529953</v>
      </c>
      <c r="F64" s="178">
        <f t="shared" si="2"/>
        <v>1.9609101452995326</v>
      </c>
      <c r="G64" s="182">
        <f>WORKDAY(WORKDAY(DATEVALUE(CONCATENATE("15/"&amp;MONTH(EDATE($A64,-1))&amp;"/"&amp;YEAR(EDATE(A64,-1)))),-1,Feriados!$A$2:$A$1037),1,Feriados!$A$2:$A$1037)</f>
        <v>44881</v>
      </c>
      <c r="H64" s="183">
        <f t="shared" si="7"/>
        <v>6443.6</v>
      </c>
      <c r="I64" s="184">
        <f>IF(P64="após","",NETWORKDAYS(G64,A64-1,Feriados!$A$2:$A$1037))</f>
        <v>20</v>
      </c>
      <c r="J64" s="184">
        <f>IF(P64="após","",NETWORKDAYS(G64,K64-1,Feriados!$A$2:$A$1037))</f>
        <v>21</v>
      </c>
      <c r="K64" s="177">
        <f>WORKDAY(WORKDAY(DATEVALUE(CONCATENATE("15/"&amp;MONTH(A64)&amp;"/"&amp;YEAR(A64))),-1,Feriados!$A$2:$A$1037),1,Feriados!$A$2:$A$1037)</f>
        <v>44910</v>
      </c>
      <c r="L64" s="183">
        <f t="shared" si="6"/>
        <v>6517.7</v>
      </c>
      <c r="M64" s="182">
        <f>WORKDAY(WORKDAY(DATEVALUE(CONCATENATE("15/"&amp;MONTH(EDATE(A64,1))&amp;"/"&amp;YEAR(EDATE(A64,1)))),-1,Feriados!$A$2:$A$1037),1,Feriados!$A$2:$A$1037)</f>
        <v>44942</v>
      </c>
      <c r="N64" s="186" t="str">
        <f>IF(P64="antes","",NETWORKDAYS(K64,A64-1,Feriados!$A$2:$A$1037))</f>
        <v/>
      </c>
      <c r="O64" s="186" t="str">
        <f>IF(P64="antes","",NETWORKDAYS(K64,M64-1,Feriados!$A$2:$A$1037))</f>
        <v/>
      </c>
      <c r="P64" s="172" t="str">
        <f t="shared" si="10"/>
        <v>Antes</v>
      </c>
      <c r="Q64" s="188">
        <f t="shared" si="11"/>
        <v>6514.153515</v>
      </c>
      <c r="R64" s="145"/>
    </row>
    <row r="65" spans="1:18" x14ac:dyDescent="0.3">
      <c r="A65" s="180">
        <v>44910</v>
      </c>
      <c r="B65" s="189">
        <f t="shared" si="0"/>
        <v>6517.7</v>
      </c>
      <c r="C65" s="181">
        <f t="shared" si="8"/>
        <v>1.1499999999999999</v>
      </c>
      <c r="D65" s="178">
        <f t="shared" si="9"/>
        <v>5.4496749384025378E-2</v>
      </c>
      <c r="E65" s="179">
        <f t="shared" si="5"/>
        <v>1.0201647552697108</v>
      </c>
      <c r="F65" s="178">
        <f t="shared" si="2"/>
        <v>2.0164755269710843</v>
      </c>
      <c r="G65" s="182">
        <f>WORKDAY(WORKDAY(DATEVALUE(CONCATENATE("15/"&amp;MONTH(EDATE($A65,-1))&amp;"/"&amp;YEAR(EDATE(A65,-1)))),-1,Feriados!$A$2:$A$1037),1,Feriados!$A$2:$A$1037)</f>
        <v>44881</v>
      </c>
      <c r="H65" s="183">
        <f t="shared" si="7"/>
        <v>6443.6</v>
      </c>
      <c r="I65" s="184">
        <f>IF(P65="após","",NETWORKDAYS(G65,A65-1,Feriados!$A$2:$A$1037))</f>
        <v>21</v>
      </c>
      <c r="J65" s="184">
        <f>IF(P65="após","",NETWORKDAYS(G65,K65-1,Feriados!$A$2:$A$1037))</f>
        <v>21</v>
      </c>
      <c r="K65" s="177">
        <f>WORKDAY(WORKDAY(DATEVALUE(CONCATENATE("15/"&amp;MONTH(A65)&amp;"/"&amp;YEAR(A65))),-1,Feriados!$A$2:$A$1037),1,Feriados!$A$2:$A$1037)</f>
        <v>44910</v>
      </c>
      <c r="L65" s="183">
        <f t="shared" si="6"/>
        <v>6517.7</v>
      </c>
      <c r="M65" s="182">
        <f>WORKDAY(WORKDAY(DATEVALUE(CONCATENATE("15/"&amp;MONTH(EDATE(A65,1))&amp;"/"&amp;YEAR(EDATE(A65,1)))),-1,Feriados!$A$2:$A$1037),1,Feriados!$A$2:$A$1037)</f>
        <v>44942</v>
      </c>
      <c r="N65" s="186" t="str">
        <f>IF(P65="antes","",NETWORKDAYS(K65,A65-1,Feriados!$A$2:$A$1037))</f>
        <v/>
      </c>
      <c r="O65" s="186" t="str">
        <f>IF(P65="antes","",NETWORKDAYS(K65,M65-1,Feriados!$A$2:$A$1037))</f>
        <v/>
      </c>
      <c r="P65" s="172" t="str">
        <f t="shared" si="10"/>
        <v>Antes</v>
      </c>
      <c r="Q65" s="188">
        <f t="shared" si="11"/>
        <v>6517.7013999999999</v>
      </c>
      <c r="R65" s="145"/>
    </row>
    <row r="66" spans="1:18" x14ac:dyDescent="0.3">
      <c r="A66" s="180">
        <v>44911</v>
      </c>
      <c r="B66" s="189">
        <f t="shared" si="0"/>
        <v>6521.09</v>
      </c>
      <c r="C66" s="181">
        <f t="shared" si="8"/>
        <v>1.1499999999999999</v>
      </c>
      <c r="D66" s="178">
        <f t="shared" si="9"/>
        <v>5.2012212897190047E-2</v>
      </c>
      <c r="E66" s="179">
        <f t="shared" si="5"/>
        <v>1.0206953655341238</v>
      </c>
      <c r="F66" s="178">
        <f t="shared" si="2"/>
        <v>2.0695365534123766</v>
      </c>
      <c r="G66" s="182">
        <f>WORKDAY(WORKDAY(DATEVALUE(CONCATENATE("15/"&amp;MONTH(EDATE($A66,-1))&amp;"/"&amp;YEAR(EDATE(A66,-1)))),-1,Feriados!$A$2:$A$1037),1,Feriados!$A$2:$A$1037)</f>
        <v>44881</v>
      </c>
      <c r="H66" s="183">
        <f t="shared" si="7"/>
        <v>6443.6</v>
      </c>
      <c r="I66" s="184" t="str">
        <f>IF(P66="após","",NETWORKDAYS(G66,A66-1,Feriados!$A$2:$A$1037))</f>
        <v/>
      </c>
      <c r="J66" s="184" t="str">
        <f>IF(P66="após","",NETWORKDAYS(G66,K66-1,Feriados!$A$2:$A$1037))</f>
        <v/>
      </c>
      <c r="K66" s="177">
        <f>WORKDAY(WORKDAY(DATEVALUE(CONCATENATE("15/"&amp;MONTH(A66)&amp;"/"&amp;YEAR(A66))),-1,Feriados!$A$2:$A$1037),1,Feriados!$A$2:$A$1037)</f>
        <v>44910</v>
      </c>
      <c r="L66" s="183">
        <f t="shared" si="6"/>
        <v>6517.7</v>
      </c>
      <c r="M66" s="182">
        <f>WORKDAY(WORKDAY(DATEVALUE(CONCATENATE("15/"&amp;MONTH(EDATE(A66,1))&amp;"/"&amp;YEAR(EDATE(A66,1)))),-1,Feriados!$A$2:$A$1037),1,Feriados!$A$2:$A$1037)</f>
        <v>44942</v>
      </c>
      <c r="N66" s="186">
        <f>IF(P66="antes","",NETWORKDAYS(K66,A66-1,Feriados!$A$2:$A$1037))</f>
        <v>1</v>
      </c>
      <c r="O66" s="186">
        <f>IF(P66="antes","",NETWORKDAYS(K66,M66-1,Feriados!$A$2:$A$1037))</f>
        <v>22</v>
      </c>
      <c r="P66" s="172" t="str">
        <f t="shared" si="10"/>
        <v>Após</v>
      </c>
      <c r="Q66" s="188">
        <f t="shared" si="11"/>
        <v>6521.0884180000003</v>
      </c>
      <c r="R66" s="145"/>
    </row>
    <row r="67" spans="1:18" x14ac:dyDescent="0.3">
      <c r="A67" s="180">
        <v>44914</v>
      </c>
      <c r="B67" s="189">
        <f t="shared" si="0"/>
        <v>6524.48</v>
      </c>
      <c r="C67" s="181">
        <f t="shared" si="8"/>
        <v>1.1499999999999999</v>
      </c>
      <c r="D67" s="178">
        <f t="shared" si="9"/>
        <v>5.1985174257662692E-2</v>
      </c>
      <c r="E67" s="179">
        <f t="shared" si="5"/>
        <v>1.0212259757985365</v>
      </c>
      <c r="F67" s="178">
        <f t="shared" si="2"/>
        <v>2.1225975798536467</v>
      </c>
      <c r="G67" s="182">
        <f>WORKDAY(WORKDAY(DATEVALUE(CONCATENATE("15/"&amp;MONTH(EDATE($A67,-1))&amp;"/"&amp;YEAR(EDATE(A67,-1)))),-1,Feriados!$A$2:$A$1037),1,Feriados!$A$2:$A$1037)</f>
        <v>44881</v>
      </c>
      <c r="H67" s="183">
        <f t="shared" si="7"/>
        <v>6443.6</v>
      </c>
      <c r="I67" s="184" t="str">
        <f>IF(P67="após","",NETWORKDAYS(G67,A67-1,Feriados!$A$2:$A$1037))</f>
        <v/>
      </c>
      <c r="J67" s="184" t="str">
        <f>IF(P67="após","",NETWORKDAYS(G67,K67-1,Feriados!$A$2:$A$1037))</f>
        <v/>
      </c>
      <c r="K67" s="177">
        <f>WORKDAY(WORKDAY(DATEVALUE(CONCATENATE("15/"&amp;MONTH(A67)&amp;"/"&amp;YEAR(A67))),-1,Feriados!$A$2:$A$1037),1,Feriados!$A$2:$A$1037)</f>
        <v>44910</v>
      </c>
      <c r="L67" s="183">
        <f t="shared" si="6"/>
        <v>6517.7</v>
      </c>
      <c r="M67" s="182">
        <f>WORKDAY(WORKDAY(DATEVALUE(CONCATENATE("15/"&amp;MONTH(EDATE(A67,1))&amp;"/"&amp;YEAR(EDATE(A67,1)))),-1,Feriados!$A$2:$A$1037),1,Feriados!$A$2:$A$1037)</f>
        <v>44942</v>
      </c>
      <c r="N67" s="186">
        <f>IF(P67="antes","",NETWORKDAYS(K67,A67-1,Feriados!$A$2:$A$1037))</f>
        <v>2</v>
      </c>
      <c r="O67" s="186">
        <f>IF(P67="antes","",NETWORKDAYS(K67,M67-1,Feriados!$A$2:$A$1037))</f>
        <v>22</v>
      </c>
      <c r="P67" s="172" t="str">
        <f t="shared" si="10"/>
        <v>Após</v>
      </c>
      <c r="Q67" s="188">
        <f t="shared" si="11"/>
        <v>6524.478599</v>
      </c>
      <c r="R67" s="145"/>
    </row>
    <row r="68" spans="1:18" x14ac:dyDescent="0.3">
      <c r="A68" s="180">
        <v>44915</v>
      </c>
      <c r="B68" s="189">
        <f t="shared" ref="B68:B75" si="12">ROUND(+Q68,2)</f>
        <v>6527.87</v>
      </c>
      <c r="C68" s="181">
        <f t="shared" si="8"/>
        <v>1.1499999999999999</v>
      </c>
      <c r="D68" s="178">
        <f t="shared" ref="D68:D76" si="13">+(B68/B67-1)*100</f>
        <v>5.1958163715726258E-2</v>
      </c>
      <c r="E68" s="179">
        <f t="shared" si="5"/>
        <v>1.0217565860629494</v>
      </c>
      <c r="F68" s="178">
        <f t="shared" ref="F68:F76" si="14">(+E68-1)*100</f>
        <v>2.175658606294939</v>
      </c>
      <c r="G68" s="182">
        <f>WORKDAY(WORKDAY(DATEVALUE(CONCATENATE("15/"&amp;MONTH(EDATE($A68,-1))&amp;"/"&amp;YEAR(EDATE(A68,-1)))),-1,Feriados!$A$2:$A$1037),1,Feriados!$A$2:$A$1037)</f>
        <v>44881</v>
      </c>
      <c r="H68" s="183">
        <f t="shared" si="7"/>
        <v>6443.6</v>
      </c>
      <c r="I68" s="184" t="str">
        <f>IF(P68="após","",NETWORKDAYS(G68,A68-1,Feriados!$A$2:$A$1037))</f>
        <v/>
      </c>
      <c r="J68" s="184" t="str">
        <f>IF(P68="após","",NETWORKDAYS(G68,K68-1,Feriados!$A$2:$A$1037))</f>
        <v/>
      </c>
      <c r="K68" s="177">
        <f>WORKDAY(WORKDAY(DATEVALUE(CONCATENATE("15/"&amp;MONTH(A68)&amp;"/"&amp;YEAR(A68))),-1,Feriados!$A$2:$A$1037),1,Feriados!$A$2:$A$1037)</f>
        <v>44910</v>
      </c>
      <c r="L68" s="183">
        <f t="shared" si="6"/>
        <v>6517.7</v>
      </c>
      <c r="M68" s="182">
        <f>WORKDAY(WORKDAY(DATEVALUE(CONCATENATE("15/"&amp;MONTH(EDATE(A68,1))&amp;"/"&amp;YEAR(EDATE(A68,1)))),-1,Feriados!$A$2:$A$1037),1,Feriados!$A$2:$A$1037)</f>
        <v>44942</v>
      </c>
      <c r="N68" s="186">
        <f>IF(P68="antes","",NETWORKDAYS(K68,A68-1,Feriados!$A$2:$A$1037))</f>
        <v>3</v>
      </c>
      <c r="O68" s="186">
        <f>IF(P68="antes","",NETWORKDAYS(K68,M68-1,Feriados!$A$2:$A$1037))</f>
        <v>22</v>
      </c>
      <c r="P68" s="172" t="str">
        <f t="shared" ref="P68:P76" si="15">IF(A68&gt;K68,"Após","Antes")</f>
        <v>Após</v>
      </c>
      <c r="Q68" s="188">
        <f t="shared" ref="Q68:Q76" si="16">IF(A68&gt;K68,TRUNC(+L68*((1+C68/100)^(N68/O68)),6),TRUNC(+H68*((1+C68/100)^(I68/J68)),6))</f>
        <v>6527.8705419999997</v>
      </c>
      <c r="R68" s="145"/>
    </row>
    <row r="69" spans="1:18" x14ac:dyDescent="0.3">
      <c r="A69" s="180">
        <v>44916</v>
      </c>
      <c r="B69" s="189">
        <f t="shared" si="12"/>
        <v>6531.26</v>
      </c>
      <c r="C69" s="181">
        <f t="shared" si="8"/>
        <v>1.1499999999999999</v>
      </c>
      <c r="D69" s="178">
        <f t="shared" si="13"/>
        <v>5.1931181227571344E-2</v>
      </c>
      <c r="E69" s="179">
        <f t="shared" ref="E69:E76" si="17">+(D69/100+1)*E68</f>
        <v>1.0222871963273623</v>
      </c>
      <c r="F69" s="178">
        <f t="shared" si="14"/>
        <v>2.2287196327362313</v>
      </c>
      <c r="G69" s="182">
        <f>WORKDAY(WORKDAY(DATEVALUE(CONCATENATE("15/"&amp;MONTH(EDATE($A69,-1))&amp;"/"&amp;YEAR(EDATE(A69,-1)))),-1,Feriados!$A$2:$A$1037),1,Feriados!$A$2:$A$1037)</f>
        <v>44881</v>
      </c>
      <c r="H69" s="183">
        <f t="shared" si="7"/>
        <v>6443.6</v>
      </c>
      <c r="I69" s="184" t="str">
        <f>IF(P69="após","",NETWORKDAYS(G69,A69-1,Feriados!$A$2:$A$1037))</f>
        <v/>
      </c>
      <c r="J69" s="184" t="str">
        <f>IF(P69="após","",NETWORKDAYS(G69,K69-1,Feriados!$A$2:$A$1037))</f>
        <v/>
      </c>
      <c r="K69" s="177">
        <f>WORKDAY(WORKDAY(DATEVALUE(CONCATENATE("15/"&amp;MONTH(A69)&amp;"/"&amp;YEAR(A69))),-1,Feriados!$A$2:$A$1037),1,Feriados!$A$2:$A$1037)</f>
        <v>44910</v>
      </c>
      <c r="L69" s="183">
        <f t="shared" ref="L69:L76" si="18">VLOOKUP(K69,$A$2:$B$76,2,FALSE)</f>
        <v>6517.7</v>
      </c>
      <c r="M69" s="182">
        <f>WORKDAY(WORKDAY(DATEVALUE(CONCATENATE("15/"&amp;MONTH(EDATE(A69,1))&amp;"/"&amp;YEAR(EDATE(A69,1)))),-1,Feriados!$A$2:$A$1037),1,Feriados!$A$2:$A$1037)</f>
        <v>44942</v>
      </c>
      <c r="N69" s="186">
        <f>IF(P69="antes","",NETWORKDAYS(K69,A69-1,Feriados!$A$2:$A$1037))</f>
        <v>4</v>
      </c>
      <c r="O69" s="186">
        <f>IF(P69="antes","",NETWORKDAYS(K69,M69-1,Feriados!$A$2:$A$1037))</f>
        <v>22</v>
      </c>
      <c r="P69" s="172" t="str">
        <f t="shared" si="15"/>
        <v>Após</v>
      </c>
      <c r="Q69" s="188">
        <f t="shared" si="16"/>
        <v>6531.2642480000004</v>
      </c>
      <c r="R69" s="145"/>
    </row>
    <row r="70" spans="1:18" x14ac:dyDescent="0.3">
      <c r="A70" s="180">
        <v>44917</v>
      </c>
      <c r="B70" s="189">
        <f t="shared" si="12"/>
        <v>6534.66</v>
      </c>
      <c r="C70" s="181">
        <f t="shared" si="8"/>
        <v>1.1499999999999999</v>
      </c>
      <c r="D70" s="178">
        <f t="shared" si="13"/>
        <v>5.2057336562927325E-2</v>
      </c>
      <c r="E70" s="179">
        <f t="shared" si="17"/>
        <v>1.0228193718137941</v>
      </c>
      <c r="F70" s="178">
        <f t="shared" si="14"/>
        <v>2.281937181379412</v>
      </c>
      <c r="G70" s="182">
        <f>WORKDAY(WORKDAY(DATEVALUE(CONCATENATE("15/"&amp;MONTH(EDATE($A70,-1))&amp;"/"&amp;YEAR(EDATE(A70,-1)))),-1,Feriados!$A$2:$A$1037),1,Feriados!$A$2:$A$1037)</f>
        <v>44881</v>
      </c>
      <c r="H70" s="183">
        <f t="shared" si="7"/>
        <v>6443.6</v>
      </c>
      <c r="I70" s="184" t="str">
        <f>IF(P70="após","",NETWORKDAYS(G70,A70-1,Feriados!$A$2:$A$1037))</f>
        <v/>
      </c>
      <c r="J70" s="184" t="str">
        <f>IF(P70="após","",NETWORKDAYS(G70,K70-1,Feriados!$A$2:$A$1037))</f>
        <v/>
      </c>
      <c r="K70" s="177">
        <f>WORKDAY(WORKDAY(DATEVALUE(CONCATENATE("15/"&amp;MONTH(A70)&amp;"/"&amp;YEAR(A70))),-1,Feriados!$A$2:$A$1037),1,Feriados!$A$2:$A$1037)</f>
        <v>44910</v>
      </c>
      <c r="L70" s="183">
        <f t="shared" si="18"/>
        <v>6517.7</v>
      </c>
      <c r="M70" s="182">
        <f>WORKDAY(WORKDAY(DATEVALUE(CONCATENATE("15/"&amp;MONTH(EDATE(A70,1))&amp;"/"&amp;YEAR(EDATE(A70,1)))),-1,Feriados!$A$2:$A$1037),1,Feriados!$A$2:$A$1037)</f>
        <v>44942</v>
      </c>
      <c r="N70" s="186">
        <f>IF(P70="antes","",NETWORKDAYS(K70,A70-1,Feriados!$A$2:$A$1037))</f>
        <v>5</v>
      </c>
      <c r="O70" s="186">
        <f>IF(P70="antes","",NETWORKDAYS(K70,M70-1,Feriados!$A$2:$A$1037))</f>
        <v>22</v>
      </c>
      <c r="P70" s="172" t="str">
        <f t="shared" si="15"/>
        <v>Após</v>
      </c>
      <c r="Q70" s="188">
        <f t="shared" si="16"/>
        <v>6534.6597179999999</v>
      </c>
      <c r="R70" s="145"/>
    </row>
    <row r="71" spans="1:18" x14ac:dyDescent="0.3">
      <c r="A71" s="180">
        <v>44918</v>
      </c>
      <c r="B71" s="189">
        <f t="shared" si="12"/>
        <v>6538.06</v>
      </c>
      <c r="C71" s="181">
        <f t="shared" si="8"/>
        <v>1.1499999999999999</v>
      </c>
      <c r="D71" s="178">
        <f t="shared" si="13"/>
        <v>5.2030251000068084E-2</v>
      </c>
      <c r="E71" s="179">
        <f t="shared" si="17"/>
        <v>1.0233515473002261</v>
      </c>
      <c r="F71" s="178">
        <f t="shared" si="14"/>
        <v>2.335154730022615</v>
      </c>
      <c r="G71" s="182">
        <f>WORKDAY(WORKDAY(DATEVALUE(CONCATENATE("15/"&amp;MONTH(EDATE($A71,-1))&amp;"/"&amp;YEAR(EDATE(A71,-1)))),-1,Feriados!$A$2:$A$1037),1,Feriados!$A$2:$A$1037)</f>
        <v>44881</v>
      </c>
      <c r="H71" s="183">
        <f t="shared" si="7"/>
        <v>6443.6</v>
      </c>
      <c r="I71" s="184" t="str">
        <f>IF(P71="após","",NETWORKDAYS(G71,A71-1,Feriados!$A$2:$A$1037))</f>
        <v/>
      </c>
      <c r="J71" s="184" t="str">
        <f>IF(P71="após","",NETWORKDAYS(G71,K71-1,Feriados!$A$2:$A$1037))</f>
        <v/>
      </c>
      <c r="K71" s="177">
        <f>WORKDAY(WORKDAY(DATEVALUE(CONCATENATE("15/"&amp;MONTH(A71)&amp;"/"&amp;YEAR(A71))),-1,Feriados!$A$2:$A$1037),1,Feriados!$A$2:$A$1037)</f>
        <v>44910</v>
      </c>
      <c r="L71" s="183">
        <f t="shared" si="18"/>
        <v>6517.7</v>
      </c>
      <c r="M71" s="182">
        <f>WORKDAY(WORKDAY(DATEVALUE(CONCATENATE("15/"&amp;MONTH(EDATE(A71,1))&amp;"/"&amp;YEAR(EDATE(A71,1)))),-1,Feriados!$A$2:$A$1037),1,Feriados!$A$2:$A$1037)</f>
        <v>44942</v>
      </c>
      <c r="N71" s="186">
        <f>IF(P71="antes","",NETWORKDAYS(K71,A71-1,Feriados!$A$2:$A$1037))</f>
        <v>6</v>
      </c>
      <c r="O71" s="186">
        <f>IF(P71="antes","",NETWORKDAYS(K71,M71-1,Feriados!$A$2:$A$1037))</f>
        <v>22</v>
      </c>
      <c r="P71" s="172" t="str">
        <f t="shared" si="15"/>
        <v>Após</v>
      </c>
      <c r="Q71" s="188">
        <f t="shared" si="16"/>
        <v>6538.0569539999997</v>
      </c>
      <c r="R71" s="145"/>
    </row>
    <row r="72" spans="1:18" x14ac:dyDescent="0.3">
      <c r="A72" s="180">
        <v>44921</v>
      </c>
      <c r="B72" s="189">
        <f t="shared" si="12"/>
        <v>6541.46</v>
      </c>
      <c r="C72" s="181">
        <f t="shared" si="8"/>
        <v>1.1499999999999999</v>
      </c>
      <c r="D72" s="178">
        <f t="shared" si="13"/>
        <v>5.2003193607874643E-2</v>
      </c>
      <c r="E72" s="179">
        <f t="shared" si="17"/>
        <v>1.023883722786658</v>
      </c>
      <c r="F72" s="178">
        <f t="shared" si="14"/>
        <v>2.3883722786657957</v>
      </c>
      <c r="G72" s="182">
        <f>WORKDAY(WORKDAY(DATEVALUE(CONCATENATE("15/"&amp;MONTH(EDATE($A72,-1))&amp;"/"&amp;YEAR(EDATE(A72,-1)))),-1,Feriados!$A$2:$A$1037),1,Feriados!$A$2:$A$1037)</f>
        <v>44881</v>
      </c>
      <c r="H72" s="183">
        <f t="shared" si="7"/>
        <v>6443.6</v>
      </c>
      <c r="I72" s="184" t="str">
        <f>IF(P72="após","",NETWORKDAYS(G72,A72-1,Feriados!$A$2:$A$1037))</f>
        <v/>
      </c>
      <c r="J72" s="184" t="str">
        <f>IF(P72="após","",NETWORKDAYS(G72,K72-1,Feriados!$A$2:$A$1037))</f>
        <v/>
      </c>
      <c r="K72" s="177">
        <f>WORKDAY(WORKDAY(DATEVALUE(CONCATENATE("15/"&amp;MONTH(A72)&amp;"/"&amp;YEAR(A72))),-1,Feriados!$A$2:$A$1037),1,Feriados!$A$2:$A$1037)</f>
        <v>44910</v>
      </c>
      <c r="L72" s="183">
        <f t="shared" si="18"/>
        <v>6517.7</v>
      </c>
      <c r="M72" s="182">
        <f>WORKDAY(WORKDAY(DATEVALUE(CONCATENATE("15/"&amp;MONTH(EDATE(A72,1))&amp;"/"&amp;YEAR(EDATE(A72,1)))),-1,Feriados!$A$2:$A$1037),1,Feriados!$A$2:$A$1037)</f>
        <v>44942</v>
      </c>
      <c r="N72" s="186">
        <f>IF(P72="antes","",NETWORKDAYS(K72,A72-1,Feriados!$A$2:$A$1037))</f>
        <v>7</v>
      </c>
      <c r="O72" s="186">
        <f>IF(P72="antes","",NETWORKDAYS(K72,M72-1,Feriados!$A$2:$A$1037))</f>
        <v>22</v>
      </c>
      <c r="P72" s="172" t="str">
        <f t="shared" si="15"/>
        <v>Após</v>
      </c>
      <c r="Q72" s="188">
        <f t="shared" si="16"/>
        <v>6541.4559559999998</v>
      </c>
      <c r="R72" s="145"/>
    </row>
    <row r="73" spans="1:18" x14ac:dyDescent="0.3">
      <c r="A73" s="180">
        <v>44922</v>
      </c>
      <c r="B73" s="189">
        <f t="shared" si="12"/>
        <v>6544.86</v>
      </c>
      <c r="C73" s="181">
        <f t="shared" si="8"/>
        <v>1.1499999999999999</v>
      </c>
      <c r="D73" s="178">
        <f t="shared" si="13"/>
        <v>5.1976164342515396E-2</v>
      </c>
      <c r="E73" s="179">
        <f t="shared" si="17"/>
        <v>1.0244158982730898</v>
      </c>
      <c r="F73" s="178">
        <f t="shared" si="14"/>
        <v>2.4415898273089764</v>
      </c>
      <c r="G73" s="182">
        <f>WORKDAY(WORKDAY(DATEVALUE(CONCATENATE("15/"&amp;MONTH(EDATE($A73,-1))&amp;"/"&amp;YEAR(EDATE(A73,-1)))),-1,Feriados!$A$2:$A$1037),1,Feriados!$A$2:$A$1037)</f>
        <v>44881</v>
      </c>
      <c r="H73" s="183">
        <f t="shared" si="7"/>
        <v>6443.6</v>
      </c>
      <c r="I73" s="184" t="str">
        <f>IF(P73="após","",NETWORKDAYS(G73,A73-1,Feriados!$A$2:$A$1037))</f>
        <v/>
      </c>
      <c r="J73" s="184" t="str">
        <f>IF(P73="após","",NETWORKDAYS(G73,K73-1,Feriados!$A$2:$A$1037))</f>
        <v/>
      </c>
      <c r="K73" s="177">
        <f>WORKDAY(WORKDAY(DATEVALUE(CONCATENATE("15/"&amp;MONTH(A73)&amp;"/"&amp;YEAR(A73))),-1,Feriados!$A$2:$A$1037),1,Feriados!$A$2:$A$1037)</f>
        <v>44910</v>
      </c>
      <c r="L73" s="183">
        <f t="shared" si="18"/>
        <v>6517.7</v>
      </c>
      <c r="M73" s="182">
        <f>WORKDAY(WORKDAY(DATEVALUE(CONCATENATE("15/"&amp;MONTH(EDATE(A73,1))&amp;"/"&amp;YEAR(EDATE(A73,1)))),-1,Feriados!$A$2:$A$1037),1,Feriados!$A$2:$A$1037)</f>
        <v>44942</v>
      </c>
      <c r="N73" s="186">
        <f>IF(P73="antes","",NETWORKDAYS(K73,A73-1,Feriados!$A$2:$A$1037))</f>
        <v>8</v>
      </c>
      <c r="O73" s="186">
        <f>IF(P73="antes","",NETWORKDAYS(K73,M73-1,Feriados!$A$2:$A$1037))</f>
        <v>22</v>
      </c>
      <c r="P73" s="172" t="str">
        <f t="shared" si="15"/>
        <v>Após</v>
      </c>
      <c r="Q73" s="188">
        <f t="shared" si="16"/>
        <v>6544.8567249999996</v>
      </c>
      <c r="R73" s="145"/>
    </row>
    <row r="74" spans="1:18" x14ac:dyDescent="0.3">
      <c r="A74" s="180">
        <v>44923</v>
      </c>
      <c r="B74" s="189">
        <f t="shared" si="12"/>
        <v>6548.26</v>
      </c>
      <c r="C74" s="181">
        <f t="shared" si="8"/>
        <v>1.1499999999999999</v>
      </c>
      <c r="D74" s="178">
        <f t="shared" si="13"/>
        <v>5.1949163160114331E-2</v>
      </c>
      <c r="E74" s="179">
        <f t="shared" si="17"/>
        <v>1.0249480737595218</v>
      </c>
      <c r="F74" s="178">
        <f t="shared" si="14"/>
        <v>2.4948073759521794</v>
      </c>
      <c r="G74" s="182">
        <f>WORKDAY(WORKDAY(DATEVALUE(CONCATENATE("15/"&amp;MONTH(EDATE($A74,-1))&amp;"/"&amp;YEAR(EDATE(A74,-1)))),-1,Feriados!$A$2:$A$1037),1,Feriados!$A$2:$A$1037)</f>
        <v>44881</v>
      </c>
      <c r="H74" s="183">
        <f t="shared" si="7"/>
        <v>6443.6</v>
      </c>
      <c r="I74" s="184" t="str">
        <f>IF(P74="após","",NETWORKDAYS(G74,A74-1,Feriados!$A$2:$A$1037))</f>
        <v/>
      </c>
      <c r="J74" s="184" t="str">
        <f>IF(P74="após","",NETWORKDAYS(G74,K74-1,Feriados!$A$2:$A$1037))</f>
        <v/>
      </c>
      <c r="K74" s="177">
        <f>WORKDAY(WORKDAY(DATEVALUE(CONCATENATE("15/"&amp;MONTH(A74)&amp;"/"&amp;YEAR(A74))),-1,Feriados!$A$2:$A$1037),1,Feriados!$A$2:$A$1037)</f>
        <v>44910</v>
      </c>
      <c r="L74" s="183">
        <f t="shared" si="18"/>
        <v>6517.7</v>
      </c>
      <c r="M74" s="182">
        <f>WORKDAY(WORKDAY(DATEVALUE(CONCATENATE("15/"&amp;MONTH(EDATE(A74,1))&amp;"/"&amp;YEAR(EDATE(A74,1)))),-1,Feriados!$A$2:$A$1037),1,Feriados!$A$2:$A$1037)</f>
        <v>44942</v>
      </c>
      <c r="N74" s="186">
        <f>IF(P74="antes","",NETWORKDAYS(K74,A74-1,Feriados!$A$2:$A$1037))</f>
        <v>9</v>
      </c>
      <c r="O74" s="186">
        <f>IF(P74="antes","",NETWORKDAYS(K74,M74-1,Feriados!$A$2:$A$1037))</f>
        <v>22</v>
      </c>
      <c r="P74" s="172" t="str">
        <f t="shared" si="15"/>
        <v>Após</v>
      </c>
      <c r="Q74" s="188">
        <f t="shared" si="16"/>
        <v>6548.2592619999996</v>
      </c>
      <c r="R74" s="145"/>
    </row>
    <row r="75" spans="1:18" x14ac:dyDescent="0.3">
      <c r="A75" s="180">
        <v>44924</v>
      </c>
      <c r="B75" s="189">
        <f t="shared" si="12"/>
        <v>6551.66</v>
      </c>
      <c r="C75" s="181">
        <f t="shared" si="8"/>
        <v>1.1499999999999999</v>
      </c>
      <c r="D75" s="178">
        <f t="shared" si="13"/>
        <v>5.1922190016884251E-2</v>
      </c>
      <c r="E75" s="179">
        <f t="shared" si="17"/>
        <v>1.0254802492459536</v>
      </c>
      <c r="F75" s="178">
        <f t="shared" si="14"/>
        <v>2.5480249245953601</v>
      </c>
      <c r="G75" s="182">
        <f>WORKDAY(WORKDAY(DATEVALUE(CONCATENATE("15/"&amp;MONTH(EDATE($A75,-1))&amp;"/"&amp;YEAR(EDATE(A75,-1)))),-1,Feriados!$A$2:$A$1037),1,Feriados!$A$2:$A$1037)</f>
        <v>44881</v>
      </c>
      <c r="H75" s="183">
        <f t="shared" si="7"/>
        <v>6443.6</v>
      </c>
      <c r="I75" s="184" t="str">
        <f>IF(P75="após","",NETWORKDAYS(G75,A75-1,Feriados!$A$2:$A$1037))</f>
        <v/>
      </c>
      <c r="J75" s="184" t="str">
        <f>IF(P75="após","",NETWORKDAYS(G75,K75-1,Feriados!$A$2:$A$1037))</f>
        <v/>
      </c>
      <c r="K75" s="177">
        <f>WORKDAY(WORKDAY(DATEVALUE(CONCATENATE("15/"&amp;MONTH(A75)&amp;"/"&amp;YEAR(A75))),-1,Feriados!$A$2:$A$1037),1,Feriados!$A$2:$A$1037)</f>
        <v>44910</v>
      </c>
      <c r="L75" s="183">
        <f t="shared" si="18"/>
        <v>6517.7</v>
      </c>
      <c r="M75" s="182">
        <f>WORKDAY(WORKDAY(DATEVALUE(CONCATENATE("15/"&amp;MONTH(EDATE(A75,1))&amp;"/"&amp;YEAR(EDATE(A75,1)))),-1,Feriados!$A$2:$A$1037),1,Feriados!$A$2:$A$1037)</f>
        <v>44942</v>
      </c>
      <c r="N75" s="186">
        <f>IF(P75="antes","",NETWORKDAYS(K75,A75-1,Feriados!$A$2:$A$1037))</f>
        <v>10</v>
      </c>
      <c r="O75" s="186">
        <f>IF(P75="antes","",NETWORKDAYS(K75,M75-1,Feriados!$A$2:$A$1037))</f>
        <v>22</v>
      </c>
      <c r="P75" s="172" t="str">
        <f t="shared" si="15"/>
        <v>Após</v>
      </c>
      <c r="Q75" s="188">
        <f t="shared" si="16"/>
        <v>6551.6635679999999</v>
      </c>
      <c r="R75" s="145"/>
    </row>
    <row r="76" spans="1:18" x14ac:dyDescent="0.3">
      <c r="A76" s="180">
        <v>44925</v>
      </c>
      <c r="B76" s="189">
        <f>ROUND(+Q76,2)</f>
        <v>6555.07</v>
      </c>
      <c r="C76" s="181">
        <f t="shared" si="8"/>
        <v>1.1499999999999999</v>
      </c>
      <c r="D76" s="178">
        <f t="shared" si="13"/>
        <v>5.2047877942373866E-2</v>
      </c>
      <c r="E76" s="179">
        <f t="shared" si="17"/>
        <v>1.0260139899544043</v>
      </c>
      <c r="F76" s="178">
        <f t="shared" si="14"/>
        <v>2.6013989954404293</v>
      </c>
      <c r="G76" s="182">
        <f>WORKDAY(WORKDAY(DATEVALUE(CONCATENATE("15/"&amp;MONTH(EDATE($A76,-1))&amp;"/"&amp;YEAR(EDATE(A76,-1)))),-1,Feriados!$A$2:$A$1037),1,Feriados!$A$2:$A$1037)</f>
        <v>44881</v>
      </c>
      <c r="H76" s="183">
        <f t="shared" si="7"/>
        <v>6443.6</v>
      </c>
      <c r="I76" s="184" t="str">
        <f>IF(P76="após","",NETWORKDAYS(G76,A76-1,Feriados!$A$2:$A$1037))</f>
        <v/>
      </c>
      <c r="J76" s="184" t="str">
        <f>IF(P76="após","",NETWORKDAYS(G76,K76-1,Feriados!$A$2:$A$1037))</f>
        <v/>
      </c>
      <c r="K76" s="177">
        <f>WORKDAY(WORKDAY(DATEVALUE(CONCATENATE("15/"&amp;MONTH(A76)&amp;"/"&amp;YEAR(A76))),-1,Feriados!$A$2:$A$1037),1,Feriados!$A$2:$A$1037)</f>
        <v>44910</v>
      </c>
      <c r="L76" s="183">
        <f t="shared" si="18"/>
        <v>6517.7</v>
      </c>
      <c r="M76" s="182">
        <f>WORKDAY(WORKDAY(DATEVALUE(CONCATENATE("15/"&amp;MONTH(EDATE(A76,1))&amp;"/"&amp;YEAR(EDATE(A76,1)))),-1,Feriados!$A$2:$A$1037),1,Feriados!$A$2:$A$1037)</f>
        <v>44942</v>
      </c>
      <c r="N76" s="186">
        <f>IF(P76="antes","",NETWORKDAYS(K76,A76-1,Feriados!$A$2:$A$1037))</f>
        <v>11</v>
      </c>
      <c r="O76" s="186">
        <f>IF(P76="antes","",NETWORKDAYS(K76,M76-1,Feriados!$A$2:$A$1037))</f>
        <v>22</v>
      </c>
      <c r="P76" s="172" t="str">
        <f t="shared" si="15"/>
        <v>Após</v>
      </c>
      <c r="Q76" s="188">
        <f t="shared" si="16"/>
        <v>6555.0696440000002</v>
      </c>
      <c r="R76" s="145"/>
    </row>
  </sheetData>
  <sheetProtection formatCells="0" formatColumns="0" formatRows="0"/>
  <mergeCells count="2">
    <mergeCell ref="I1:J1"/>
    <mergeCell ref="N1:O1"/>
  </mergeCells>
  <pageMargins left="0.511811024" right="0.511811024" top="0.78740157499999996" bottom="0.78740157499999996" header="0.31496062000000002" footer="0.31496062000000002"/>
  <pageSetup paperSize="9" orientation="portrait" r:id="rId1"/>
  <headerFooter>
    <oddHeader>&amp;R&amp;"Calibri"&amp;10&amp;K000000#interna&amp;1#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755"/>
  <sheetViews>
    <sheetView topLeftCell="A727" zoomScale="94" zoomScaleNormal="94" workbookViewId="0">
      <selection activeCell="D755" sqref="D755"/>
    </sheetView>
  </sheetViews>
  <sheetFormatPr defaultRowHeight="14.4" x14ac:dyDescent="0.3"/>
  <cols>
    <col min="1" max="1" width="11.33203125" style="156" bestFit="1" customWidth="1"/>
    <col min="2" max="2" width="17.44140625" style="156" bestFit="1" customWidth="1"/>
    <col min="3" max="3" width="19.6640625" style="157" bestFit="1" customWidth="1"/>
    <col min="4" max="4" width="9.33203125" style="156" bestFit="1" customWidth="1"/>
    <col min="5" max="5" width="8.88671875" style="156"/>
    <col min="6" max="6" width="17.44140625" style="156" bestFit="1" customWidth="1"/>
    <col min="7" max="7" width="16.5546875" style="156" bestFit="1" customWidth="1"/>
  </cols>
  <sheetData>
    <row r="1" spans="1:7" ht="27.6" x14ac:dyDescent="0.3">
      <c r="A1" s="146" t="s">
        <v>307</v>
      </c>
      <c r="B1" s="146" t="s">
        <v>308</v>
      </c>
      <c r="C1" s="147" t="s">
        <v>298</v>
      </c>
      <c r="D1" s="148" t="s">
        <v>299</v>
      </c>
      <c r="E1" s="149" t="s">
        <v>309</v>
      </c>
      <c r="F1" s="146" t="s">
        <v>310</v>
      </c>
      <c r="G1" s="150" t="s">
        <v>178</v>
      </c>
    </row>
    <row r="2" spans="1:7" x14ac:dyDescent="0.3">
      <c r="A2" s="151">
        <v>760199</v>
      </c>
      <c r="B2" s="152">
        <v>43830</v>
      </c>
      <c r="C2" s="153">
        <v>3274.641482</v>
      </c>
      <c r="D2" s="151">
        <v>1.05</v>
      </c>
      <c r="E2" s="151" t="s">
        <v>305</v>
      </c>
      <c r="F2" s="152">
        <v>43822</v>
      </c>
      <c r="G2" s="154"/>
    </row>
    <row r="3" spans="1:7" x14ac:dyDescent="0.3">
      <c r="A3" s="151">
        <v>760199</v>
      </c>
      <c r="B3" s="152">
        <v>43832</v>
      </c>
      <c r="C3" s="153">
        <v>3276.3521529999998</v>
      </c>
      <c r="D3" s="151">
        <v>1.05</v>
      </c>
      <c r="E3" s="151" t="s">
        <v>305</v>
      </c>
      <c r="F3" s="152">
        <v>43822</v>
      </c>
      <c r="G3" s="187">
        <v>5290.06</v>
      </c>
    </row>
    <row r="4" spans="1:7" x14ac:dyDescent="0.3">
      <c r="A4" s="151">
        <v>760199</v>
      </c>
      <c r="B4" s="152">
        <v>43833</v>
      </c>
      <c r="C4" s="153">
        <v>3278.063717</v>
      </c>
      <c r="D4" s="151">
        <v>1.05</v>
      </c>
      <c r="E4" s="151" t="s">
        <v>305</v>
      </c>
      <c r="F4" s="152">
        <v>43822</v>
      </c>
      <c r="G4" s="155">
        <f>+C4/C3*G3</f>
        <v>5292.8235235258671</v>
      </c>
    </row>
    <row r="5" spans="1:7" x14ac:dyDescent="0.3">
      <c r="A5" s="151">
        <v>760199</v>
      </c>
      <c r="B5" s="152">
        <v>43836</v>
      </c>
      <c r="C5" s="153">
        <v>3279.776175</v>
      </c>
      <c r="D5" s="151">
        <v>1.05</v>
      </c>
      <c r="E5" s="151" t="s">
        <v>305</v>
      </c>
      <c r="F5" s="152">
        <v>43822</v>
      </c>
      <c r="G5" s="155">
        <f t="shared" ref="G5:G68" si="0">+C5/C4*G4</f>
        <v>5295.5884905210014</v>
      </c>
    </row>
    <row r="6" spans="1:7" x14ac:dyDescent="0.3">
      <c r="A6" s="151">
        <v>760199</v>
      </c>
      <c r="B6" s="152">
        <v>43837</v>
      </c>
      <c r="C6" s="153">
        <v>3281.4895280000001</v>
      </c>
      <c r="D6" s="151">
        <v>1.05</v>
      </c>
      <c r="E6" s="151" t="s">
        <v>305</v>
      </c>
      <c r="F6" s="152">
        <v>43822</v>
      </c>
      <c r="G6" s="155">
        <f t="shared" si="0"/>
        <v>5298.3549026000201</v>
      </c>
    </row>
    <row r="7" spans="1:7" x14ac:dyDescent="0.3">
      <c r="A7" s="151">
        <v>760199</v>
      </c>
      <c r="B7" s="152">
        <v>43838</v>
      </c>
      <c r="C7" s="153">
        <v>3283.203775</v>
      </c>
      <c r="D7" s="151">
        <v>1.05</v>
      </c>
      <c r="E7" s="151" t="s">
        <v>305</v>
      </c>
      <c r="F7" s="152">
        <v>43822</v>
      </c>
      <c r="G7" s="155">
        <f t="shared" si="0"/>
        <v>5301.1227581483063</v>
      </c>
    </row>
    <row r="8" spans="1:7" x14ac:dyDescent="0.3">
      <c r="A8" s="151">
        <v>760199</v>
      </c>
      <c r="B8" s="152">
        <v>43839</v>
      </c>
      <c r="C8" s="153">
        <v>3284.9189190000002</v>
      </c>
      <c r="D8" s="151">
        <v>1.05</v>
      </c>
      <c r="E8" s="151" t="s">
        <v>305</v>
      </c>
      <c r="F8" s="152">
        <v>43822</v>
      </c>
      <c r="G8" s="155">
        <f t="shared" si="0"/>
        <v>5303.892062009716</v>
      </c>
    </row>
    <row r="9" spans="1:7" x14ac:dyDescent="0.3">
      <c r="A9" s="151">
        <v>760199</v>
      </c>
      <c r="B9" s="152">
        <v>43840</v>
      </c>
      <c r="C9" s="153">
        <v>3289.400815</v>
      </c>
      <c r="D9" s="151">
        <v>1.1499999999999999</v>
      </c>
      <c r="E9" s="151" t="s">
        <v>9</v>
      </c>
      <c r="F9" s="152">
        <v>43840</v>
      </c>
      <c r="G9" s="155">
        <f t="shared" si="0"/>
        <v>5311.1286158496478</v>
      </c>
    </row>
    <row r="10" spans="1:7" x14ac:dyDescent="0.3">
      <c r="A10" s="151">
        <v>760199</v>
      </c>
      <c r="B10" s="152">
        <v>43843</v>
      </c>
      <c r="C10" s="153">
        <v>3291.2820499999998</v>
      </c>
      <c r="D10" s="151">
        <v>1.1499999999999999</v>
      </c>
      <c r="E10" s="151" t="s">
        <v>9</v>
      </c>
      <c r="F10" s="152">
        <v>43840</v>
      </c>
      <c r="G10" s="155">
        <f t="shared" si="0"/>
        <v>5314.1660933732364</v>
      </c>
    </row>
    <row r="11" spans="1:7" x14ac:dyDescent="0.3">
      <c r="A11" s="151">
        <v>760199</v>
      </c>
      <c r="B11" s="152">
        <v>43844</v>
      </c>
      <c r="C11" s="153">
        <v>3293.164362</v>
      </c>
      <c r="D11" s="151">
        <v>1.1499999999999999</v>
      </c>
      <c r="E11" s="151" t="s">
        <v>9</v>
      </c>
      <c r="F11" s="152">
        <v>43840</v>
      </c>
      <c r="G11" s="155">
        <f t="shared" si="0"/>
        <v>5317.2053098413453</v>
      </c>
    </row>
    <row r="12" spans="1:7" x14ac:dyDescent="0.3">
      <c r="A12" s="151">
        <v>760199</v>
      </c>
      <c r="B12" s="152">
        <v>43845</v>
      </c>
      <c r="C12" s="153">
        <v>3295.0477510000001</v>
      </c>
      <c r="D12" s="151">
        <v>1.1499999999999999</v>
      </c>
      <c r="E12" s="151" t="s">
        <v>9</v>
      </c>
      <c r="F12" s="152">
        <v>43840</v>
      </c>
      <c r="G12" s="155">
        <f t="shared" si="0"/>
        <v>5320.2462652539734</v>
      </c>
    </row>
    <row r="13" spans="1:7" x14ac:dyDescent="0.3">
      <c r="A13" s="151">
        <v>760199</v>
      </c>
      <c r="B13" s="152">
        <v>43846</v>
      </c>
      <c r="C13" s="153">
        <v>3295.5340540000002</v>
      </c>
      <c r="D13" s="151">
        <v>0.34</v>
      </c>
      <c r="E13" s="151" t="s">
        <v>305</v>
      </c>
      <c r="F13" s="152">
        <v>43846</v>
      </c>
      <c r="G13" s="155">
        <f t="shared" si="0"/>
        <v>5321.0314592526793</v>
      </c>
    </row>
    <row r="14" spans="1:7" x14ac:dyDescent="0.3">
      <c r="A14" s="151">
        <v>760199</v>
      </c>
      <c r="B14" s="152">
        <v>43847</v>
      </c>
      <c r="C14" s="153">
        <v>3296.02043</v>
      </c>
      <c r="D14" s="151">
        <v>0.34</v>
      </c>
      <c r="E14" s="151" t="s">
        <v>305</v>
      </c>
      <c r="F14" s="152">
        <v>43846</v>
      </c>
      <c r="G14" s="155">
        <f t="shared" si="0"/>
        <v>5321.8167711185615</v>
      </c>
    </row>
    <row r="15" spans="1:7" x14ac:dyDescent="0.3">
      <c r="A15" s="151">
        <v>760199</v>
      </c>
      <c r="B15" s="152">
        <v>43850</v>
      </c>
      <c r="C15" s="153">
        <v>3296.5068769999998</v>
      </c>
      <c r="D15" s="151">
        <v>0.34</v>
      </c>
      <c r="E15" s="151" t="s">
        <v>305</v>
      </c>
      <c r="F15" s="152">
        <v>43846</v>
      </c>
      <c r="G15" s="155">
        <f t="shared" si="0"/>
        <v>5322.6021976223828</v>
      </c>
    </row>
    <row r="16" spans="1:7" x14ac:dyDescent="0.3">
      <c r="A16" s="151">
        <v>760199</v>
      </c>
      <c r="B16" s="152">
        <v>43851</v>
      </c>
      <c r="C16" s="153">
        <v>3296.9933959999998</v>
      </c>
      <c r="D16" s="151">
        <v>0.34</v>
      </c>
      <c r="E16" s="151" t="s">
        <v>305</v>
      </c>
      <c r="F16" s="152">
        <v>43846</v>
      </c>
      <c r="G16" s="155">
        <f t="shared" si="0"/>
        <v>5323.3877403787628</v>
      </c>
    </row>
    <row r="17" spans="1:7" x14ac:dyDescent="0.3">
      <c r="A17" s="151">
        <v>760199</v>
      </c>
      <c r="B17" s="152">
        <v>43852</v>
      </c>
      <c r="C17" s="153">
        <v>3297.4799870000002</v>
      </c>
      <c r="D17" s="151">
        <v>0.34</v>
      </c>
      <c r="E17" s="151" t="s">
        <v>305</v>
      </c>
      <c r="F17" s="152">
        <v>43846</v>
      </c>
      <c r="G17" s="155">
        <f t="shared" si="0"/>
        <v>5324.1733993877024</v>
      </c>
    </row>
    <row r="18" spans="1:7" x14ac:dyDescent="0.3">
      <c r="A18" s="151">
        <v>760199</v>
      </c>
      <c r="B18" s="152">
        <v>43853</v>
      </c>
      <c r="C18" s="153">
        <v>3297.9666499999998</v>
      </c>
      <c r="D18" s="151">
        <v>0.34</v>
      </c>
      <c r="E18" s="151" t="s">
        <v>305</v>
      </c>
      <c r="F18" s="152">
        <v>43846</v>
      </c>
      <c r="G18" s="155">
        <f t="shared" si="0"/>
        <v>5324.9591746491988</v>
      </c>
    </row>
    <row r="19" spans="1:7" x14ac:dyDescent="0.3">
      <c r="A19" s="151">
        <v>760199</v>
      </c>
      <c r="B19" s="152">
        <v>43854</v>
      </c>
      <c r="C19" s="153">
        <v>3298.253275</v>
      </c>
      <c r="D19" s="151">
        <v>0.32</v>
      </c>
      <c r="E19" s="151" t="s">
        <v>305</v>
      </c>
      <c r="F19" s="152">
        <v>43854</v>
      </c>
      <c r="G19" s="155">
        <f t="shared" si="0"/>
        <v>5325.4219647818509</v>
      </c>
    </row>
    <row r="20" spans="1:7" x14ac:dyDescent="0.3">
      <c r="A20" s="151">
        <v>760199</v>
      </c>
      <c r="B20" s="152">
        <v>43857</v>
      </c>
      <c r="C20" s="153">
        <v>3298.7114620000002</v>
      </c>
      <c r="D20" s="151">
        <v>0.32</v>
      </c>
      <c r="E20" s="151" t="s">
        <v>305</v>
      </c>
      <c r="F20" s="152">
        <v>43854</v>
      </c>
      <c r="G20" s="155">
        <f t="shared" si="0"/>
        <v>5326.161762156501</v>
      </c>
    </row>
    <row r="21" spans="1:7" x14ac:dyDescent="0.3">
      <c r="A21" s="151">
        <v>760199</v>
      </c>
      <c r="B21" s="152">
        <v>43858</v>
      </c>
      <c r="C21" s="153">
        <v>3299.1697119999999</v>
      </c>
      <c r="D21" s="151">
        <v>0.32</v>
      </c>
      <c r="E21" s="151" t="s">
        <v>305</v>
      </c>
      <c r="F21" s="152">
        <v>43854</v>
      </c>
      <c r="G21" s="155">
        <f t="shared" si="0"/>
        <v>5326.9016612521391</v>
      </c>
    </row>
    <row r="22" spans="1:7" x14ac:dyDescent="0.3">
      <c r="A22" s="151">
        <v>760199</v>
      </c>
      <c r="B22" s="152">
        <v>43859</v>
      </c>
      <c r="C22" s="153">
        <v>3299.6280259999999</v>
      </c>
      <c r="D22" s="151">
        <v>0.32</v>
      </c>
      <c r="E22" s="151" t="s">
        <v>305</v>
      </c>
      <c r="F22" s="152">
        <v>43854</v>
      </c>
      <c r="G22" s="155">
        <f t="shared" si="0"/>
        <v>5327.6416636833846</v>
      </c>
    </row>
    <row r="23" spans="1:7" x14ac:dyDescent="0.3">
      <c r="A23" s="151">
        <v>760199</v>
      </c>
      <c r="B23" s="152">
        <v>43860</v>
      </c>
      <c r="C23" s="153">
        <v>3300.0864029999998</v>
      </c>
      <c r="D23" s="151">
        <v>0.32</v>
      </c>
      <c r="E23" s="151" t="s">
        <v>305</v>
      </c>
      <c r="F23" s="152">
        <v>43854</v>
      </c>
      <c r="G23" s="155">
        <f t="shared" si="0"/>
        <v>5328.3817678356199</v>
      </c>
    </row>
    <row r="24" spans="1:7" x14ac:dyDescent="0.3">
      <c r="A24" s="151">
        <v>760199</v>
      </c>
      <c r="B24" s="152">
        <v>43861</v>
      </c>
      <c r="C24" s="153">
        <v>3300.5448449999999</v>
      </c>
      <c r="D24" s="151">
        <v>0.32</v>
      </c>
      <c r="E24" s="151" t="s">
        <v>305</v>
      </c>
      <c r="F24" s="152">
        <v>43854</v>
      </c>
      <c r="G24" s="155">
        <f t="shared" si="0"/>
        <v>5329.1219769380814</v>
      </c>
    </row>
    <row r="25" spans="1:7" x14ac:dyDescent="0.3">
      <c r="A25" s="151">
        <v>760199</v>
      </c>
      <c r="B25" s="152">
        <v>43864</v>
      </c>
      <c r="C25" s="153">
        <v>3301.0033490000001</v>
      </c>
      <c r="D25" s="151">
        <v>0.32</v>
      </c>
      <c r="E25" s="151" t="s">
        <v>305</v>
      </c>
      <c r="F25" s="152">
        <v>43854</v>
      </c>
      <c r="G25" s="155">
        <f t="shared" si="0"/>
        <v>5329.862286146913</v>
      </c>
    </row>
    <row r="26" spans="1:7" x14ac:dyDescent="0.3">
      <c r="A26" s="151">
        <v>760199</v>
      </c>
      <c r="B26" s="152">
        <v>43865</v>
      </c>
      <c r="C26" s="153">
        <v>3301.461918</v>
      </c>
      <c r="D26" s="151">
        <v>0.32</v>
      </c>
      <c r="E26" s="151" t="s">
        <v>305</v>
      </c>
      <c r="F26" s="152">
        <v>43854</v>
      </c>
      <c r="G26" s="155">
        <f t="shared" si="0"/>
        <v>5330.6027003059698</v>
      </c>
    </row>
    <row r="27" spans="1:7" x14ac:dyDescent="0.3">
      <c r="A27" s="151">
        <v>760199</v>
      </c>
      <c r="B27" s="152">
        <v>43866</v>
      </c>
      <c r="C27" s="153">
        <v>3301.9205499999998</v>
      </c>
      <c r="D27" s="151">
        <v>0.32</v>
      </c>
      <c r="E27" s="151" t="s">
        <v>305</v>
      </c>
      <c r="F27" s="152">
        <v>43854</v>
      </c>
      <c r="G27" s="155">
        <f t="shared" si="0"/>
        <v>5331.3432161860164</v>
      </c>
    </row>
    <row r="28" spans="1:7" x14ac:dyDescent="0.3">
      <c r="A28" s="151">
        <v>760199</v>
      </c>
      <c r="B28" s="152">
        <v>43867</v>
      </c>
      <c r="C28" s="153">
        <v>3302.379246</v>
      </c>
      <c r="D28" s="151">
        <v>0.32</v>
      </c>
      <c r="E28" s="151" t="s">
        <v>305</v>
      </c>
      <c r="F28" s="152">
        <v>43854</v>
      </c>
      <c r="G28" s="155">
        <f t="shared" si="0"/>
        <v>5332.0838354016696</v>
      </c>
    </row>
    <row r="29" spans="1:7" x14ac:dyDescent="0.3">
      <c r="A29" s="151">
        <v>760199</v>
      </c>
      <c r="B29" s="152">
        <v>43868</v>
      </c>
      <c r="C29" s="153">
        <v>3300.1596829999999</v>
      </c>
      <c r="D29" s="151">
        <v>0.21</v>
      </c>
      <c r="E29" s="151" t="s">
        <v>9</v>
      </c>
      <c r="F29" s="152">
        <v>43868</v>
      </c>
      <c r="G29" s="155">
        <f t="shared" si="0"/>
        <v>5328.5000871061666</v>
      </c>
    </row>
    <row r="30" spans="1:7" x14ac:dyDescent="0.3">
      <c r="A30" s="151">
        <v>760199</v>
      </c>
      <c r="B30" s="152">
        <v>43871</v>
      </c>
      <c r="C30" s="153">
        <v>3300.4606309999999</v>
      </c>
      <c r="D30" s="151">
        <v>0.21</v>
      </c>
      <c r="E30" s="151" t="s">
        <v>9</v>
      </c>
      <c r="F30" s="152">
        <v>43868</v>
      </c>
      <c r="G30" s="155">
        <f t="shared" si="0"/>
        <v>5328.9860034248459</v>
      </c>
    </row>
    <row r="31" spans="1:7" x14ac:dyDescent="0.3">
      <c r="A31" s="151">
        <v>760199</v>
      </c>
      <c r="B31" s="152">
        <v>43872</v>
      </c>
      <c r="C31" s="153">
        <v>3300.7616079999998</v>
      </c>
      <c r="D31" s="151">
        <v>0.21</v>
      </c>
      <c r="E31" s="151" t="s">
        <v>9</v>
      </c>
      <c r="F31" s="152">
        <v>43868</v>
      </c>
      <c r="G31" s="155">
        <f t="shared" si="0"/>
        <v>5329.4719665674711</v>
      </c>
    </row>
    <row r="32" spans="1:7" x14ac:dyDescent="0.3">
      <c r="A32" s="151">
        <v>760199</v>
      </c>
      <c r="B32" s="152">
        <v>43873</v>
      </c>
      <c r="C32" s="153">
        <v>3301.0626109999998</v>
      </c>
      <c r="D32" s="151">
        <v>0.21</v>
      </c>
      <c r="E32" s="151" t="s">
        <v>9</v>
      </c>
      <c r="F32" s="152">
        <v>43868</v>
      </c>
      <c r="G32" s="155">
        <f t="shared" si="0"/>
        <v>5329.9579716901872</v>
      </c>
    </row>
    <row r="33" spans="1:7" x14ac:dyDescent="0.3">
      <c r="A33" s="151">
        <v>760199</v>
      </c>
      <c r="B33" s="152">
        <v>43874</v>
      </c>
      <c r="C33" s="153">
        <v>3301.3636419999998</v>
      </c>
      <c r="D33" s="151">
        <v>0.21</v>
      </c>
      <c r="E33" s="151" t="s">
        <v>9</v>
      </c>
      <c r="F33" s="152">
        <v>43868</v>
      </c>
      <c r="G33" s="155">
        <f t="shared" si="0"/>
        <v>5330.4440220222314</v>
      </c>
    </row>
    <row r="34" spans="1:7" x14ac:dyDescent="0.3">
      <c r="A34" s="151">
        <v>760199</v>
      </c>
      <c r="B34" s="152">
        <v>43875</v>
      </c>
      <c r="C34" s="153">
        <v>3301.6647010000002</v>
      </c>
      <c r="D34" s="151">
        <v>0.21</v>
      </c>
      <c r="E34" s="151" t="s">
        <v>9</v>
      </c>
      <c r="F34" s="152">
        <v>43868</v>
      </c>
      <c r="G34" s="155">
        <f t="shared" si="0"/>
        <v>5330.9301175636047</v>
      </c>
    </row>
    <row r="35" spans="1:7" x14ac:dyDescent="0.3">
      <c r="A35" s="151">
        <v>760199</v>
      </c>
      <c r="B35" s="152">
        <v>43878</v>
      </c>
      <c r="C35" s="153">
        <v>3301.9657870000001</v>
      </c>
      <c r="D35" s="151">
        <v>0.21</v>
      </c>
      <c r="E35" s="151" t="s">
        <v>9</v>
      </c>
      <c r="F35" s="152">
        <v>43868</v>
      </c>
      <c r="G35" s="155">
        <f t="shared" si="0"/>
        <v>5331.4162566996865</v>
      </c>
    </row>
    <row r="36" spans="1:7" x14ac:dyDescent="0.3">
      <c r="A36" s="151">
        <v>760199</v>
      </c>
      <c r="B36" s="152">
        <v>43879</v>
      </c>
      <c r="C36" s="153">
        <v>3302.222436</v>
      </c>
      <c r="D36" s="151">
        <v>0.14000000000000001</v>
      </c>
      <c r="E36" s="151" t="s">
        <v>305</v>
      </c>
      <c r="F36" s="152">
        <v>43879</v>
      </c>
      <c r="G36" s="155">
        <f t="shared" si="0"/>
        <v>5331.830647017191</v>
      </c>
    </row>
    <row r="37" spans="1:7" x14ac:dyDescent="0.3">
      <c r="A37" s="151">
        <v>760199</v>
      </c>
      <c r="B37" s="152">
        <v>43880</v>
      </c>
      <c r="C37" s="153">
        <v>3302.4791059999998</v>
      </c>
      <c r="D37" s="151">
        <v>0.14000000000000001</v>
      </c>
      <c r="E37" s="151" t="s">
        <v>305</v>
      </c>
      <c r="F37" s="152">
        <v>43879</v>
      </c>
      <c r="G37" s="155">
        <f t="shared" si="0"/>
        <v>5332.2450712416921</v>
      </c>
    </row>
    <row r="38" spans="1:7" x14ac:dyDescent="0.3">
      <c r="A38" s="151">
        <v>760199</v>
      </c>
      <c r="B38" s="152">
        <v>43881</v>
      </c>
      <c r="C38" s="153">
        <v>3302.7357959999999</v>
      </c>
      <c r="D38" s="151">
        <v>0.14000000000000001</v>
      </c>
      <c r="E38" s="151" t="s">
        <v>305</v>
      </c>
      <c r="F38" s="152">
        <v>43879</v>
      </c>
      <c r="G38" s="155">
        <f t="shared" si="0"/>
        <v>5332.6595277585711</v>
      </c>
    </row>
    <row r="39" spans="1:7" x14ac:dyDescent="0.3">
      <c r="A39" s="151">
        <v>760199</v>
      </c>
      <c r="B39" s="152">
        <v>43882</v>
      </c>
      <c r="C39" s="153">
        <v>3303.0657999999999</v>
      </c>
      <c r="D39" s="151">
        <v>0.15</v>
      </c>
      <c r="E39" s="151" t="s">
        <v>305</v>
      </c>
      <c r="F39" s="152">
        <v>43882</v>
      </c>
      <c r="G39" s="155">
        <f t="shared" si="0"/>
        <v>5333.1923584430378</v>
      </c>
    </row>
    <row r="40" spans="1:7" x14ac:dyDescent="0.3">
      <c r="A40" s="151">
        <v>760199</v>
      </c>
      <c r="B40" s="152">
        <v>43887</v>
      </c>
      <c r="C40" s="153">
        <v>3303.3408610000001</v>
      </c>
      <c r="D40" s="151">
        <v>0.15</v>
      </c>
      <c r="E40" s="151" t="s">
        <v>305</v>
      </c>
      <c r="F40" s="152">
        <v>43882</v>
      </c>
      <c r="G40" s="155">
        <f t="shared" si="0"/>
        <v>5333.6364771231156</v>
      </c>
    </row>
    <row r="41" spans="1:7" x14ac:dyDescent="0.3">
      <c r="A41" s="151">
        <v>760199</v>
      </c>
      <c r="B41" s="152">
        <v>43888</v>
      </c>
      <c r="C41" s="153">
        <v>3303.615945</v>
      </c>
      <c r="D41" s="151">
        <v>0.15</v>
      </c>
      <c r="E41" s="151" t="s">
        <v>305</v>
      </c>
      <c r="F41" s="152">
        <v>43882</v>
      </c>
      <c r="G41" s="155">
        <f t="shared" si="0"/>
        <v>5334.0806329394263</v>
      </c>
    </row>
    <row r="42" spans="1:7" x14ac:dyDescent="0.3">
      <c r="A42" s="151">
        <v>760199</v>
      </c>
      <c r="B42" s="152">
        <v>43889</v>
      </c>
      <c r="C42" s="153">
        <v>3303.8910510000001</v>
      </c>
      <c r="D42" s="151">
        <v>0.15</v>
      </c>
      <c r="E42" s="151" t="s">
        <v>305</v>
      </c>
      <c r="F42" s="152">
        <v>43882</v>
      </c>
      <c r="G42" s="155">
        <f t="shared" si="0"/>
        <v>5334.5248242773532</v>
      </c>
    </row>
    <row r="43" spans="1:7" x14ac:dyDescent="0.3">
      <c r="A43" s="151">
        <v>760199</v>
      </c>
      <c r="B43" s="152">
        <v>43892</v>
      </c>
      <c r="C43" s="153">
        <v>3304.1661810000001</v>
      </c>
      <c r="D43" s="151">
        <v>0.15</v>
      </c>
      <c r="E43" s="151" t="s">
        <v>305</v>
      </c>
      <c r="F43" s="152">
        <v>43882</v>
      </c>
      <c r="G43" s="155">
        <f t="shared" si="0"/>
        <v>5334.9690543661318</v>
      </c>
    </row>
    <row r="44" spans="1:7" x14ac:dyDescent="0.3">
      <c r="A44" s="151">
        <v>760199</v>
      </c>
      <c r="B44" s="152">
        <v>43893</v>
      </c>
      <c r="C44" s="153">
        <v>3304.4413330000002</v>
      </c>
      <c r="D44" s="151">
        <v>0.15</v>
      </c>
      <c r="E44" s="151" t="s">
        <v>305</v>
      </c>
      <c r="F44" s="152">
        <v>43882</v>
      </c>
      <c r="G44" s="155">
        <f t="shared" si="0"/>
        <v>5335.4133199765265</v>
      </c>
    </row>
    <row r="45" spans="1:7" x14ac:dyDescent="0.3">
      <c r="A45" s="151">
        <v>760199</v>
      </c>
      <c r="B45" s="152">
        <v>43894</v>
      </c>
      <c r="C45" s="153">
        <v>3304.716508</v>
      </c>
      <c r="D45" s="151">
        <v>0.15</v>
      </c>
      <c r="E45" s="151" t="s">
        <v>305</v>
      </c>
      <c r="F45" s="152">
        <v>43882</v>
      </c>
      <c r="G45" s="155">
        <f t="shared" si="0"/>
        <v>5335.8576227231542</v>
      </c>
    </row>
    <row r="46" spans="1:7" x14ac:dyDescent="0.3">
      <c r="A46" s="151">
        <v>760199</v>
      </c>
      <c r="B46" s="152">
        <v>43895</v>
      </c>
      <c r="C46" s="153">
        <v>3304.9917059999998</v>
      </c>
      <c r="D46" s="151">
        <v>0.15</v>
      </c>
      <c r="E46" s="151" t="s">
        <v>305</v>
      </c>
      <c r="F46" s="152">
        <v>43882</v>
      </c>
      <c r="G46" s="155">
        <f t="shared" si="0"/>
        <v>5336.3019626060168</v>
      </c>
    </row>
    <row r="47" spans="1:7" x14ac:dyDescent="0.3">
      <c r="A47" s="151">
        <v>760199</v>
      </c>
      <c r="B47" s="152">
        <v>43896</v>
      </c>
      <c r="C47" s="153">
        <v>3305.2669270000001</v>
      </c>
      <c r="D47" s="151">
        <v>0.15</v>
      </c>
      <c r="E47" s="151" t="s">
        <v>305</v>
      </c>
      <c r="F47" s="152">
        <v>43882</v>
      </c>
      <c r="G47" s="155">
        <f t="shared" si="0"/>
        <v>5336.7463396251133</v>
      </c>
    </row>
    <row r="48" spans="1:7" x14ac:dyDescent="0.3">
      <c r="A48" s="151">
        <v>760199</v>
      </c>
      <c r="B48" s="152">
        <v>43899</v>
      </c>
      <c r="C48" s="153">
        <v>3305.5421710000001</v>
      </c>
      <c r="D48" s="151">
        <v>0.15</v>
      </c>
      <c r="E48" s="151" t="s">
        <v>305</v>
      </c>
      <c r="F48" s="152">
        <v>43882</v>
      </c>
      <c r="G48" s="155">
        <f t="shared" si="0"/>
        <v>5337.1907537804436</v>
      </c>
    </row>
    <row r="49" spans="1:7" x14ac:dyDescent="0.3">
      <c r="A49" s="151">
        <v>760199</v>
      </c>
      <c r="B49" s="152">
        <v>43900</v>
      </c>
      <c r="C49" s="153">
        <v>3305.817438</v>
      </c>
      <c r="D49" s="151">
        <v>0.15</v>
      </c>
      <c r="E49" s="151" t="s">
        <v>305</v>
      </c>
      <c r="F49" s="152">
        <v>43882</v>
      </c>
      <c r="G49" s="155">
        <f t="shared" si="0"/>
        <v>5337.6352050720079</v>
      </c>
    </row>
    <row r="50" spans="1:7" x14ac:dyDescent="0.3">
      <c r="A50" s="151">
        <v>760199</v>
      </c>
      <c r="B50" s="152">
        <v>43901</v>
      </c>
      <c r="C50" s="153">
        <v>3308.8441979999998</v>
      </c>
      <c r="D50" s="151">
        <v>0.25</v>
      </c>
      <c r="E50" s="151" t="s">
        <v>9</v>
      </c>
      <c r="F50" s="152">
        <v>43901</v>
      </c>
      <c r="G50" s="155">
        <f t="shared" si="0"/>
        <v>5342.5222688728072</v>
      </c>
    </row>
    <row r="51" spans="1:7" x14ac:dyDescent="0.3">
      <c r="A51" s="151">
        <v>760199</v>
      </c>
      <c r="B51" s="152">
        <v>43902</v>
      </c>
      <c r="C51" s="153">
        <v>3309.3032680000001</v>
      </c>
      <c r="D51" s="151">
        <v>0.25</v>
      </c>
      <c r="E51" s="151" t="s">
        <v>9</v>
      </c>
      <c r="F51" s="152">
        <v>43901</v>
      </c>
      <c r="G51" s="155">
        <f t="shared" si="0"/>
        <v>5343.2634919559177</v>
      </c>
    </row>
    <row r="52" spans="1:7" x14ac:dyDescent="0.3">
      <c r="A52" s="151">
        <v>760199</v>
      </c>
      <c r="B52" s="152">
        <v>43903</v>
      </c>
      <c r="C52" s="153">
        <v>3309.7624019999998</v>
      </c>
      <c r="D52" s="151">
        <v>0.25</v>
      </c>
      <c r="E52" s="151" t="s">
        <v>9</v>
      </c>
      <c r="F52" s="152">
        <v>43901</v>
      </c>
      <c r="G52" s="155">
        <f t="shared" si="0"/>
        <v>5344.0048183746349</v>
      </c>
    </row>
    <row r="53" spans="1:7" x14ac:dyDescent="0.3">
      <c r="A53" s="151">
        <v>760199</v>
      </c>
      <c r="B53" s="152">
        <v>43906</v>
      </c>
      <c r="C53" s="153">
        <v>3310.2215999999999</v>
      </c>
      <c r="D53" s="151">
        <v>0.25</v>
      </c>
      <c r="E53" s="151" t="s">
        <v>9</v>
      </c>
      <c r="F53" s="152">
        <v>43901</v>
      </c>
      <c r="G53" s="155">
        <f t="shared" si="0"/>
        <v>5344.7462481289604</v>
      </c>
    </row>
    <row r="54" spans="1:7" x14ac:dyDescent="0.3">
      <c r="A54" s="151">
        <v>760199</v>
      </c>
      <c r="B54" s="152">
        <v>43907</v>
      </c>
      <c r="C54" s="153">
        <v>3310.3949010000001</v>
      </c>
      <c r="D54" s="151">
        <v>0.11</v>
      </c>
      <c r="E54" s="151" t="s">
        <v>305</v>
      </c>
      <c r="F54" s="152">
        <v>43907</v>
      </c>
      <c r="G54" s="155">
        <f t="shared" si="0"/>
        <v>5345.0260631931687</v>
      </c>
    </row>
    <row r="55" spans="1:7" x14ac:dyDescent="0.3">
      <c r="A55" s="151">
        <v>760199</v>
      </c>
      <c r="B55" s="152">
        <v>43908</v>
      </c>
      <c r="C55" s="153">
        <v>3310.5682120000001</v>
      </c>
      <c r="D55" s="151">
        <v>0.11</v>
      </c>
      <c r="E55" s="151" t="s">
        <v>305</v>
      </c>
      <c r="F55" s="152">
        <v>43907</v>
      </c>
      <c r="G55" s="155">
        <f t="shared" si="0"/>
        <v>5345.3058944035665</v>
      </c>
    </row>
    <row r="56" spans="1:7" x14ac:dyDescent="0.3">
      <c r="A56" s="151">
        <v>760199</v>
      </c>
      <c r="B56" s="152">
        <v>43909</v>
      </c>
      <c r="C56" s="153">
        <v>3310.741532</v>
      </c>
      <c r="D56" s="151">
        <v>0.11</v>
      </c>
      <c r="E56" s="151" t="s">
        <v>305</v>
      </c>
      <c r="F56" s="152">
        <v>43907</v>
      </c>
      <c r="G56" s="155">
        <f t="shared" si="0"/>
        <v>5345.5857401455332</v>
      </c>
    </row>
    <row r="57" spans="1:7" x14ac:dyDescent="0.3">
      <c r="A57" s="151">
        <v>760199</v>
      </c>
      <c r="B57" s="152">
        <v>43910</v>
      </c>
      <c r="C57" s="153">
        <v>3310.9148610000002</v>
      </c>
      <c r="D57" s="151">
        <v>0.11</v>
      </c>
      <c r="E57" s="151" t="s">
        <v>305</v>
      </c>
      <c r="F57" s="152">
        <v>43907</v>
      </c>
      <c r="G57" s="155">
        <f t="shared" si="0"/>
        <v>5345.8656004190698</v>
      </c>
    </row>
    <row r="58" spans="1:7" x14ac:dyDescent="0.3">
      <c r="A58" s="151">
        <v>760199</v>
      </c>
      <c r="B58" s="152">
        <v>43913</v>
      </c>
      <c r="C58" s="153">
        <v>3311.0881989999998</v>
      </c>
      <c r="D58" s="151">
        <v>0.11</v>
      </c>
      <c r="E58" s="151" t="s">
        <v>305</v>
      </c>
      <c r="F58" s="152">
        <v>43907</v>
      </c>
      <c r="G58" s="155">
        <f t="shared" si="0"/>
        <v>5346.1454752241752</v>
      </c>
    </row>
    <row r="59" spans="1:7" x14ac:dyDescent="0.3">
      <c r="A59" s="151">
        <v>760199</v>
      </c>
      <c r="B59" s="152">
        <v>43914</v>
      </c>
      <c r="C59" s="153">
        <v>3311.2615460000002</v>
      </c>
      <c r="D59" s="151">
        <v>0.11</v>
      </c>
      <c r="E59" s="151" t="s">
        <v>305</v>
      </c>
      <c r="F59" s="152">
        <v>43907</v>
      </c>
      <c r="G59" s="155">
        <f t="shared" si="0"/>
        <v>5346.4253645608514</v>
      </c>
    </row>
    <row r="60" spans="1:7" x14ac:dyDescent="0.3">
      <c r="A60" s="151">
        <v>760199</v>
      </c>
      <c r="B60" s="152">
        <v>43915</v>
      </c>
      <c r="C60" s="153">
        <v>3311.4349029999998</v>
      </c>
      <c r="D60" s="151">
        <v>0.11</v>
      </c>
      <c r="E60" s="151" t="s">
        <v>305</v>
      </c>
      <c r="F60" s="152">
        <v>43907</v>
      </c>
      <c r="G60" s="155">
        <f t="shared" si="0"/>
        <v>5346.7052700437162</v>
      </c>
    </row>
    <row r="61" spans="1:7" x14ac:dyDescent="0.3">
      <c r="A61" s="151">
        <v>760199</v>
      </c>
      <c r="B61" s="152">
        <v>43916</v>
      </c>
      <c r="C61" s="153">
        <v>3311.608268</v>
      </c>
      <c r="D61" s="151">
        <v>0.11</v>
      </c>
      <c r="E61" s="151" t="s">
        <v>305</v>
      </c>
      <c r="F61" s="152">
        <v>43916</v>
      </c>
      <c r="G61" s="155">
        <f t="shared" si="0"/>
        <v>5346.985188443532</v>
      </c>
    </row>
    <row r="62" spans="1:7" x14ac:dyDescent="0.3">
      <c r="A62" s="151">
        <v>760199</v>
      </c>
      <c r="B62" s="152">
        <v>43917</v>
      </c>
      <c r="C62" s="153">
        <v>3311.7816419999999</v>
      </c>
      <c r="D62" s="151">
        <v>0.11</v>
      </c>
      <c r="E62" s="151" t="s">
        <v>305</v>
      </c>
      <c r="F62" s="152">
        <v>43916</v>
      </c>
      <c r="G62" s="155">
        <f t="shared" si="0"/>
        <v>5347.2651213749177</v>
      </c>
    </row>
    <row r="63" spans="1:7" x14ac:dyDescent="0.3">
      <c r="A63" s="151">
        <v>760199</v>
      </c>
      <c r="B63" s="152">
        <v>43920</v>
      </c>
      <c r="C63" s="153">
        <v>3311.9550260000001</v>
      </c>
      <c r="D63" s="151">
        <v>0.11</v>
      </c>
      <c r="E63" s="151" t="s">
        <v>305</v>
      </c>
      <c r="F63" s="152">
        <v>43916</v>
      </c>
      <c r="G63" s="155">
        <f t="shared" si="0"/>
        <v>5347.5450704524928</v>
      </c>
    </row>
    <row r="64" spans="1:7" x14ac:dyDescent="0.3">
      <c r="A64" s="151">
        <v>760199</v>
      </c>
      <c r="B64" s="152">
        <v>43921</v>
      </c>
      <c r="C64" s="153">
        <v>3312.1284179999998</v>
      </c>
      <c r="D64" s="151">
        <v>0.11</v>
      </c>
      <c r="E64" s="151" t="s">
        <v>305</v>
      </c>
      <c r="F64" s="152">
        <v>43916</v>
      </c>
      <c r="G64" s="155">
        <f t="shared" si="0"/>
        <v>5347.8250324470173</v>
      </c>
    </row>
    <row r="65" spans="1:7" x14ac:dyDescent="0.3">
      <c r="A65" s="151">
        <v>760199</v>
      </c>
      <c r="B65" s="152">
        <v>43922</v>
      </c>
      <c r="C65" s="153">
        <v>3312.3018200000001</v>
      </c>
      <c r="D65" s="151">
        <v>0.11</v>
      </c>
      <c r="E65" s="151" t="s">
        <v>305</v>
      </c>
      <c r="F65" s="152">
        <v>43916</v>
      </c>
      <c r="G65" s="155">
        <f t="shared" si="0"/>
        <v>5348.1050105877321</v>
      </c>
    </row>
    <row r="66" spans="1:7" x14ac:dyDescent="0.3">
      <c r="A66" s="151">
        <v>760199</v>
      </c>
      <c r="B66" s="152">
        <v>43923</v>
      </c>
      <c r="C66" s="153">
        <v>3312.4752309999999</v>
      </c>
      <c r="D66" s="151">
        <v>0.11</v>
      </c>
      <c r="E66" s="151" t="s">
        <v>305</v>
      </c>
      <c r="F66" s="152">
        <v>43916</v>
      </c>
      <c r="G66" s="155">
        <f t="shared" si="0"/>
        <v>5348.3850032600149</v>
      </c>
    </row>
    <row r="67" spans="1:7" x14ac:dyDescent="0.3">
      <c r="A67" s="151">
        <v>760199</v>
      </c>
      <c r="B67" s="152">
        <v>43924</v>
      </c>
      <c r="C67" s="153">
        <v>3312.648651</v>
      </c>
      <c r="D67" s="151">
        <v>0.11</v>
      </c>
      <c r="E67" s="151" t="s">
        <v>305</v>
      </c>
      <c r="F67" s="152">
        <v>43916</v>
      </c>
      <c r="G67" s="155">
        <f t="shared" si="0"/>
        <v>5348.6650104638684</v>
      </c>
    </row>
    <row r="68" spans="1:7" x14ac:dyDescent="0.3">
      <c r="A68" s="151">
        <v>760199</v>
      </c>
      <c r="B68" s="152">
        <v>43927</v>
      </c>
      <c r="C68" s="153">
        <v>3312.822079</v>
      </c>
      <c r="D68" s="151">
        <v>0.11</v>
      </c>
      <c r="E68" s="151" t="s">
        <v>305</v>
      </c>
      <c r="F68" s="152">
        <v>43916</v>
      </c>
      <c r="G68" s="155">
        <f t="shared" si="0"/>
        <v>5348.9450305846731</v>
      </c>
    </row>
    <row r="69" spans="1:7" x14ac:dyDescent="0.3">
      <c r="A69" s="151">
        <v>760199</v>
      </c>
      <c r="B69" s="152">
        <v>43928</v>
      </c>
      <c r="C69" s="153">
        <v>3312.9955169999998</v>
      </c>
      <c r="D69" s="151">
        <v>0.11</v>
      </c>
      <c r="E69" s="151" t="s">
        <v>305</v>
      </c>
      <c r="F69" s="152">
        <v>43916</v>
      </c>
      <c r="G69" s="155">
        <f t="shared" ref="G69:G132" si="1">+C69/C68*G68</f>
        <v>5349.2250668516663</v>
      </c>
    </row>
    <row r="70" spans="1:7" x14ac:dyDescent="0.3">
      <c r="A70" s="151">
        <v>760199</v>
      </c>
      <c r="B70" s="152">
        <v>43929</v>
      </c>
      <c r="C70" s="153">
        <v>3313.168964</v>
      </c>
      <c r="D70" s="151">
        <v>0.11</v>
      </c>
      <c r="E70" s="151" t="s">
        <v>305</v>
      </c>
      <c r="F70" s="152">
        <v>43916</v>
      </c>
      <c r="G70" s="155">
        <f t="shared" si="1"/>
        <v>5349.5051176502293</v>
      </c>
    </row>
    <row r="71" spans="1:7" x14ac:dyDescent="0.3">
      <c r="A71" s="151">
        <v>760199</v>
      </c>
      <c r="B71" s="152">
        <v>43930</v>
      </c>
      <c r="C71" s="153">
        <v>3312.2069299999998</v>
      </c>
      <c r="D71" s="151">
        <v>7.0000000000000007E-2</v>
      </c>
      <c r="E71" s="151" t="s">
        <v>9</v>
      </c>
      <c r="F71" s="152">
        <v>43930</v>
      </c>
      <c r="G71" s="155">
        <f t="shared" si="1"/>
        <v>5347.9517994034777</v>
      </c>
    </row>
    <row r="72" spans="1:7" x14ac:dyDescent="0.3">
      <c r="A72" s="151">
        <v>760199</v>
      </c>
      <c r="B72" s="152">
        <v>43934</v>
      </c>
      <c r="C72" s="153">
        <v>3312.3172610000001</v>
      </c>
      <c r="D72" s="151">
        <v>7.0000000000000007E-2</v>
      </c>
      <c r="E72" s="151" t="s">
        <v>9</v>
      </c>
      <c r="F72" s="152">
        <v>43930</v>
      </c>
      <c r="G72" s="155">
        <f t="shared" si="1"/>
        <v>5348.129941917653</v>
      </c>
    </row>
    <row r="73" spans="1:7" x14ac:dyDescent="0.3">
      <c r="A73" s="151">
        <v>760199</v>
      </c>
      <c r="B73" s="152">
        <v>43935</v>
      </c>
      <c r="C73" s="153">
        <v>3312.427596</v>
      </c>
      <c r="D73" s="151">
        <v>7.0000000000000007E-2</v>
      </c>
      <c r="E73" s="151" t="s">
        <v>9</v>
      </c>
      <c r="F73" s="152">
        <v>43930</v>
      </c>
      <c r="G73" s="155">
        <f t="shared" si="1"/>
        <v>5348.3080908903039</v>
      </c>
    </row>
    <row r="74" spans="1:7" x14ac:dyDescent="0.3">
      <c r="A74" s="151">
        <v>760199</v>
      </c>
      <c r="B74" s="152">
        <v>43936</v>
      </c>
      <c r="C74" s="153">
        <v>3312.537934</v>
      </c>
      <c r="D74" s="151">
        <v>7.0000000000000007E-2</v>
      </c>
      <c r="E74" s="151" t="s">
        <v>9</v>
      </c>
      <c r="F74" s="152">
        <v>43930</v>
      </c>
      <c r="G74" s="155">
        <f t="shared" si="1"/>
        <v>5348.4862447068108</v>
      </c>
    </row>
    <row r="75" spans="1:7" x14ac:dyDescent="0.3">
      <c r="A75" s="151">
        <v>760199</v>
      </c>
      <c r="B75" s="152">
        <v>43937</v>
      </c>
      <c r="C75" s="153">
        <v>3312.4716699999999</v>
      </c>
      <c r="D75" s="151">
        <v>-0.04</v>
      </c>
      <c r="E75" s="151" t="s">
        <v>305</v>
      </c>
      <c r="F75" s="152">
        <v>43937</v>
      </c>
      <c r="G75" s="155">
        <f t="shared" si="1"/>
        <v>5348.379253602232</v>
      </c>
    </row>
    <row r="76" spans="1:7" x14ac:dyDescent="0.3">
      <c r="A76" s="151">
        <v>760199</v>
      </c>
      <c r="B76" s="152">
        <v>43938</v>
      </c>
      <c r="C76" s="153">
        <v>3312.4054080000001</v>
      </c>
      <c r="D76" s="151">
        <v>-0.04</v>
      </c>
      <c r="E76" s="151" t="s">
        <v>305</v>
      </c>
      <c r="F76" s="152">
        <v>43937</v>
      </c>
      <c r="G76" s="155">
        <f t="shared" si="1"/>
        <v>5348.2722657268914</v>
      </c>
    </row>
    <row r="77" spans="1:7" x14ac:dyDescent="0.3">
      <c r="A77" s="151">
        <v>760199</v>
      </c>
      <c r="B77" s="152">
        <v>43941</v>
      </c>
      <c r="C77" s="153">
        <v>3312.3391470000001</v>
      </c>
      <c r="D77" s="151">
        <v>-0.04</v>
      </c>
      <c r="E77" s="151" t="s">
        <v>305</v>
      </c>
      <c r="F77" s="152">
        <v>43937</v>
      </c>
      <c r="G77" s="155">
        <f t="shared" si="1"/>
        <v>5348.1652794661695</v>
      </c>
    </row>
    <row r="78" spans="1:7" x14ac:dyDescent="0.3">
      <c r="A78" s="151">
        <v>760199</v>
      </c>
      <c r="B78" s="152">
        <v>43943</v>
      </c>
      <c r="C78" s="153">
        <v>3312.272888</v>
      </c>
      <c r="D78" s="151">
        <v>-0.04</v>
      </c>
      <c r="E78" s="151" t="s">
        <v>305</v>
      </c>
      <c r="F78" s="152">
        <v>43937</v>
      </c>
      <c r="G78" s="155">
        <f t="shared" si="1"/>
        <v>5348.0582964346841</v>
      </c>
    </row>
    <row r="79" spans="1:7" x14ac:dyDescent="0.3">
      <c r="A79" s="151">
        <v>760199</v>
      </c>
      <c r="B79" s="152">
        <v>43944</v>
      </c>
      <c r="C79" s="153">
        <v>3312.2066300000001</v>
      </c>
      <c r="D79" s="151">
        <v>-0.04</v>
      </c>
      <c r="E79" s="151" t="s">
        <v>305</v>
      </c>
      <c r="F79" s="152">
        <v>43937</v>
      </c>
      <c r="G79" s="155">
        <f t="shared" si="1"/>
        <v>5347.9513150178182</v>
      </c>
    </row>
    <row r="80" spans="1:7" x14ac:dyDescent="0.3">
      <c r="A80" s="151">
        <v>760199</v>
      </c>
      <c r="B80" s="152">
        <v>43945</v>
      </c>
      <c r="C80" s="153">
        <v>3312.1403730000002</v>
      </c>
      <c r="D80" s="151">
        <v>-0.04</v>
      </c>
      <c r="E80" s="151" t="s">
        <v>305</v>
      </c>
      <c r="F80" s="152">
        <v>43937</v>
      </c>
      <c r="G80" s="155">
        <f t="shared" si="1"/>
        <v>5347.8443352155709</v>
      </c>
    </row>
    <row r="81" spans="1:7" x14ac:dyDescent="0.3">
      <c r="A81" s="151">
        <v>760199</v>
      </c>
      <c r="B81" s="152">
        <v>43948</v>
      </c>
      <c r="C81" s="153">
        <v>3312.074118</v>
      </c>
      <c r="D81" s="151">
        <v>-0.04</v>
      </c>
      <c r="E81" s="151" t="s">
        <v>305</v>
      </c>
      <c r="F81" s="152">
        <v>43937</v>
      </c>
      <c r="G81" s="155">
        <f t="shared" si="1"/>
        <v>5347.737358642561</v>
      </c>
    </row>
    <row r="82" spans="1:7" x14ac:dyDescent="0.3">
      <c r="A82" s="151">
        <v>760199</v>
      </c>
      <c r="B82" s="152">
        <v>43949</v>
      </c>
      <c r="C82" s="153">
        <v>3312.0078640000002</v>
      </c>
      <c r="D82" s="151">
        <v>-0.04</v>
      </c>
      <c r="E82" s="151" t="s">
        <v>305</v>
      </c>
      <c r="F82" s="152">
        <v>43937</v>
      </c>
      <c r="G82" s="155">
        <f t="shared" si="1"/>
        <v>5347.6303836841707</v>
      </c>
    </row>
    <row r="83" spans="1:7" x14ac:dyDescent="0.3">
      <c r="A83" s="151">
        <v>760199</v>
      </c>
      <c r="B83" s="152">
        <v>43950</v>
      </c>
      <c r="C83" s="153">
        <v>3309.4057750000002</v>
      </c>
      <c r="D83" s="151">
        <v>-0.21</v>
      </c>
      <c r="E83" s="151" t="s">
        <v>305</v>
      </c>
      <c r="F83" s="152">
        <v>43950</v>
      </c>
      <c r="G83" s="155">
        <f t="shared" si="1"/>
        <v>5343.4290016920868</v>
      </c>
    </row>
    <row r="84" spans="1:7" x14ac:dyDescent="0.3">
      <c r="A84" s="151">
        <v>760199</v>
      </c>
      <c r="B84" s="152">
        <v>43951</v>
      </c>
      <c r="C84" s="153">
        <v>3309.057941</v>
      </c>
      <c r="D84" s="151">
        <v>-0.21</v>
      </c>
      <c r="E84" s="151" t="s">
        <v>305</v>
      </c>
      <c r="F84" s="152">
        <v>43950</v>
      </c>
      <c r="G84" s="155">
        <f t="shared" si="1"/>
        <v>5342.8673823532272</v>
      </c>
    </row>
    <row r="85" spans="1:7" x14ac:dyDescent="0.3">
      <c r="A85" s="151">
        <v>760199</v>
      </c>
      <c r="B85" s="152">
        <v>43955</v>
      </c>
      <c r="C85" s="153">
        <v>3308.7101429999998</v>
      </c>
      <c r="D85" s="151">
        <v>-0.21</v>
      </c>
      <c r="E85" s="151" t="s">
        <v>305</v>
      </c>
      <c r="F85" s="152">
        <v>43950</v>
      </c>
      <c r="G85" s="155">
        <f t="shared" si="1"/>
        <v>5342.305821140646</v>
      </c>
    </row>
    <row r="86" spans="1:7" x14ac:dyDescent="0.3">
      <c r="A86" s="151">
        <v>760199</v>
      </c>
      <c r="B86" s="152">
        <v>43956</v>
      </c>
      <c r="C86" s="153">
        <v>3308.3623809999999</v>
      </c>
      <c r="D86" s="151">
        <v>-0.21</v>
      </c>
      <c r="E86" s="151" t="s">
        <v>305</v>
      </c>
      <c r="F86" s="152">
        <v>43950</v>
      </c>
      <c r="G86" s="155">
        <f t="shared" si="1"/>
        <v>5341.7443180543451</v>
      </c>
    </row>
    <row r="87" spans="1:7" x14ac:dyDescent="0.3">
      <c r="A87" s="151">
        <v>760199</v>
      </c>
      <c r="B87" s="152">
        <v>43957</v>
      </c>
      <c r="C87" s="153">
        <v>3308.0146559999998</v>
      </c>
      <c r="D87" s="151">
        <v>-0.21</v>
      </c>
      <c r="E87" s="151" t="s">
        <v>305</v>
      </c>
      <c r="F87" s="152">
        <v>43950</v>
      </c>
      <c r="G87" s="155">
        <f t="shared" si="1"/>
        <v>5341.1828747089421</v>
      </c>
    </row>
    <row r="88" spans="1:7" x14ac:dyDescent="0.3">
      <c r="A88" s="151">
        <v>760199</v>
      </c>
      <c r="B88" s="152">
        <v>43958</v>
      </c>
      <c r="C88" s="153">
        <v>3307.6669670000001</v>
      </c>
      <c r="D88" s="151">
        <v>-0.21</v>
      </c>
      <c r="E88" s="151" t="s">
        <v>305</v>
      </c>
      <c r="F88" s="152">
        <v>43950</v>
      </c>
      <c r="G88" s="155">
        <f t="shared" si="1"/>
        <v>5340.6214894898185</v>
      </c>
    </row>
    <row r="89" spans="1:7" x14ac:dyDescent="0.3">
      <c r="A89" s="151">
        <v>760199</v>
      </c>
      <c r="B89" s="152">
        <v>43959</v>
      </c>
      <c r="C89" s="153">
        <v>3304.833443</v>
      </c>
      <c r="D89" s="151">
        <v>-0.31</v>
      </c>
      <c r="E89" s="151" t="s">
        <v>9</v>
      </c>
      <c r="F89" s="152">
        <v>43959</v>
      </c>
      <c r="G89" s="155">
        <f t="shared" si="1"/>
        <v>5336.0464281803324</v>
      </c>
    </row>
    <row r="90" spans="1:7" x14ac:dyDescent="0.3">
      <c r="A90" s="151">
        <v>760199</v>
      </c>
      <c r="B90" s="152">
        <v>43962</v>
      </c>
      <c r="C90" s="153">
        <v>3304.3204479999999</v>
      </c>
      <c r="D90" s="151">
        <v>-0.31</v>
      </c>
      <c r="E90" s="151" t="s">
        <v>9</v>
      </c>
      <c r="F90" s="152">
        <v>43959</v>
      </c>
      <c r="G90" s="155">
        <f t="shared" si="1"/>
        <v>5335.218136774839</v>
      </c>
    </row>
    <row r="91" spans="1:7" x14ac:dyDescent="0.3">
      <c r="A91" s="151">
        <v>760199</v>
      </c>
      <c r="B91" s="152">
        <v>43963</v>
      </c>
      <c r="C91" s="153">
        <v>3303.8075319999998</v>
      </c>
      <c r="D91" s="151">
        <v>-0.31</v>
      </c>
      <c r="E91" s="151" t="s">
        <v>9</v>
      </c>
      <c r="F91" s="152">
        <v>43959</v>
      </c>
      <c r="G91" s="155">
        <f t="shared" si="1"/>
        <v>5334.3899729242357</v>
      </c>
    </row>
    <row r="92" spans="1:7" x14ac:dyDescent="0.3">
      <c r="A92" s="151">
        <v>760199</v>
      </c>
      <c r="B92" s="152">
        <v>43964</v>
      </c>
      <c r="C92" s="153">
        <v>3303.2946959999999</v>
      </c>
      <c r="D92" s="151">
        <v>-0.31</v>
      </c>
      <c r="E92" s="151" t="s">
        <v>9</v>
      </c>
      <c r="F92" s="152">
        <v>43959</v>
      </c>
      <c r="G92" s="155">
        <f t="shared" si="1"/>
        <v>5333.5619382431423</v>
      </c>
    </row>
    <row r="93" spans="1:7" x14ac:dyDescent="0.3">
      <c r="A93" s="151">
        <v>760199</v>
      </c>
      <c r="B93" s="152">
        <v>43965</v>
      </c>
      <c r="C93" s="153">
        <v>3302.7819399999998</v>
      </c>
      <c r="D93" s="151">
        <v>-0.31</v>
      </c>
      <c r="E93" s="151" t="s">
        <v>9</v>
      </c>
      <c r="F93" s="152">
        <v>43959</v>
      </c>
      <c r="G93" s="155">
        <f t="shared" si="1"/>
        <v>5332.7340327315578</v>
      </c>
    </row>
    <row r="94" spans="1:7" x14ac:dyDescent="0.3">
      <c r="A94" s="151">
        <v>760199</v>
      </c>
      <c r="B94" s="152">
        <v>43966</v>
      </c>
      <c r="C94" s="153">
        <v>3302.269264</v>
      </c>
      <c r="D94" s="151">
        <v>-0.31</v>
      </c>
      <c r="E94" s="151" t="s">
        <v>9</v>
      </c>
      <c r="F94" s="152">
        <v>43959</v>
      </c>
      <c r="G94" s="155">
        <f t="shared" si="1"/>
        <v>5331.9062563894831</v>
      </c>
    </row>
    <row r="95" spans="1:7" x14ac:dyDescent="0.3">
      <c r="A95" s="151">
        <v>760199</v>
      </c>
      <c r="B95" s="152">
        <v>43969</v>
      </c>
      <c r="C95" s="153">
        <v>3301.657267</v>
      </c>
      <c r="D95" s="151">
        <v>-0.37</v>
      </c>
      <c r="E95" s="151" t="s">
        <v>305</v>
      </c>
      <c r="F95" s="152">
        <v>43969</v>
      </c>
      <c r="G95" s="155">
        <f t="shared" si="1"/>
        <v>5330.9181144869544</v>
      </c>
    </row>
    <row r="96" spans="1:7" x14ac:dyDescent="0.3">
      <c r="A96" s="151">
        <v>760199</v>
      </c>
      <c r="B96" s="152">
        <v>43970</v>
      </c>
      <c r="C96" s="153">
        <v>3301.0453849999999</v>
      </c>
      <c r="D96" s="151">
        <v>-0.37</v>
      </c>
      <c r="E96" s="151" t="s">
        <v>305</v>
      </c>
      <c r="F96" s="152">
        <v>43969</v>
      </c>
      <c r="G96" s="155">
        <f t="shared" si="1"/>
        <v>5329.9301582655953</v>
      </c>
    </row>
    <row r="97" spans="1:7" x14ac:dyDescent="0.3">
      <c r="A97" s="151">
        <v>760199</v>
      </c>
      <c r="B97" s="152">
        <v>43971</v>
      </c>
      <c r="C97" s="153">
        <v>3300.4336149999999</v>
      </c>
      <c r="D97" s="151">
        <v>-0.37</v>
      </c>
      <c r="E97" s="151" t="s">
        <v>305</v>
      </c>
      <c r="F97" s="152">
        <v>43969</v>
      </c>
      <c r="G97" s="155">
        <f t="shared" si="1"/>
        <v>5328.9423828815497</v>
      </c>
    </row>
    <row r="98" spans="1:7" x14ac:dyDescent="0.3">
      <c r="A98" s="151">
        <v>760199</v>
      </c>
      <c r="B98" s="152">
        <v>43972</v>
      </c>
      <c r="C98" s="153">
        <v>3299.8219600000002</v>
      </c>
      <c r="D98" s="151">
        <v>-0.37</v>
      </c>
      <c r="E98" s="151" t="s">
        <v>305</v>
      </c>
      <c r="F98" s="152">
        <v>43969</v>
      </c>
      <c r="G98" s="155">
        <f t="shared" si="1"/>
        <v>5327.9547931786738</v>
      </c>
    </row>
    <row r="99" spans="1:7" x14ac:dyDescent="0.3">
      <c r="A99" s="151">
        <v>760199</v>
      </c>
      <c r="B99" s="152">
        <v>43973</v>
      </c>
      <c r="C99" s="153">
        <v>3299.2104169999998</v>
      </c>
      <c r="D99" s="151">
        <v>-0.37</v>
      </c>
      <c r="E99" s="151" t="s">
        <v>305</v>
      </c>
      <c r="F99" s="152">
        <v>43969</v>
      </c>
      <c r="G99" s="155">
        <f t="shared" si="1"/>
        <v>5326.9673843131095</v>
      </c>
    </row>
    <row r="100" spans="1:7" x14ac:dyDescent="0.3">
      <c r="A100" s="151">
        <v>760199</v>
      </c>
      <c r="B100" s="152">
        <v>43976</v>
      </c>
      <c r="C100" s="153">
        <v>3298.5989880000002</v>
      </c>
      <c r="D100" s="151">
        <v>-0.37</v>
      </c>
      <c r="E100" s="151" t="s">
        <v>305</v>
      </c>
      <c r="F100" s="152">
        <v>43969</v>
      </c>
      <c r="G100" s="155">
        <f t="shared" si="1"/>
        <v>5325.9801595140971</v>
      </c>
    </row>
    <row r="101" spans="1:7" x14ac:dyDescent="0.3">
      <c r="A101" s="151">
        <v>760199</v>
      </c>
      <c r="B101" s="152">
        <v>43977</v>
      </c>
      <c r="C101" s="153">
        <v>3297.9876720000002</v>
      </c>
      <c r="D101" s="151">
        <v>-0.37</v>
      </c>
      <c r="E101" s="151" t="s">
        <v>305</v>
      </c>
      <c r="F101" s="152">
        <v>43969</v>
      </c>
      <c r="G101" s="155">
        <f t="shared" si="1"/>
        <v>5324.993117167016</v>
      </c>
    </row>
    <row r="102" spans="1:7" x14ac:dyDescent="0.3">
      <c r="A102" s="151">
        <v>760199</v>
      </c>
      <c r="B102" s="152">
        <v>43978</v>
      </c>
      <c r="C102" s="153">
        <v>3296.3171349999998</v>
      </c>
      <c r="D102" s="151">
        <v>-0.45</v>
      </c>
      <c r="E102" s="151" t="s">
        <v>305</v>
      </c>
      <c r="F102" s="152">
        <v>43978</v>
      </c>
      <c r="G102" s="155">
        <f t="shared" si="1"/>
        <v>5322.2958366093908</v>
      </c>
    </row>
    <row r="103" spans="1:7" x14ac:dyDescent="0.3">
      <c r="A103" s="151">
        <v>760199</v>
      </c>
      <c r="B103" s="152">
        <v>43979</v>
      </c>
      <c r="C103" s="153">
        <v>3295.5738740000002</v>
      </c>
      <c r="D103" s="151">
        <v>-0.45</v>
      </c>
      <c r="E103" s="151" t="s">
        <v>305</v>
      </c>
      <c r="F103" s="152">
        <v>43978</v>
      </c>
      <c r="G103" s="155">
        <f t="shared" si="1"/>
        <v>5321.095753375952</v>
      </c>
    </row>
    <row r="104" spans="1:7" x14ac:dyDescent="0.3">
      <c r="A104" s="151">
        <v>760199</v>
      </c>
      <c r="B104" s="152">
        <v>43980</v>
      </c>
      <c r="C104" s="153">
        <v>3294.8307799999998</v>
      </c>
      <c r="D104" s="151">
        <v>-0.45</v>
      </c>
      <c r="E104" s="151" t="s">
        <v>305</v>
      </c>
      <c r="F104" s="152">
        <v>43978</v>
      </c>
      <c r="G104" s="155">
        <f t="shared" si="1"/>
        <v>5319.8959397838626</v>
      </c>
    </row>
    <row r="105" spans="1:7" x14ac:dyDescent="0.3">
      <c r="A105" s="151">
        <v>760199</v>
      </c>
      <c r="B105" s="152">
        <v>43983</v>
      </c>
      <c r="C105" s="153">
        <v>3294.0878539999999</v>
      </c>
      <c r="D105" s="151">
        <v>-0.45</v>
      </c>
      <c r="E105" s="151" t="s">
        <v>305</v>
      </c>
      <c r="F105" s="152">
        <v>43978</v>
      </c>
      <c r="G105" s="155">
        <f t="shared" si="1"/>
        <v>5318.696397447743</v>
      </c>
    </row>
    <row r="106" spans="1:7" x14ac:dyDescent="0.3">
      <c r="A106" s="151">
        <v>760199</v>
      </c>
      <c r="B106" s="152">
        <v>43984</v>
      </c>
      <c r="C106" s="153">
        <v>3293.3450950000001</v>
      </c>
      <c r="D106" s="151">
        <v>-0.45</v>
      </c>
      <c r="E106" s="151" t="s">
        <v>305</v>
      </c>
      <c r="F106" s="152">
        <v>43978</v>
      </c>
      <c r="G106" s="155">
        <f t="shared" si="1"/>
        <v>5317.4971247529747</v>
      </c>
    </row>
    <row r="107" spans="1:7" x14ac:dyDescent="0.3">
      <c r="A107" s="151">
        <v>760199</v>
      </c>
      <c r="B107" s="152">
        <v>43985</v>
      </c>
      <c r="C107" s="153">
        <v>3292.602504</v>
      </c>
      <c r="D107" s="151">
        <v>-0.45</v>
      </c>
      <c r="E107" s="151" t="s">
        <v>305</v>
      </c>
      <c r="F107" s="152">
        <v>43978</v>
      </c>
      <c r="G107" s="155">
        <f t="shared" si="1"/>
        <v>5316.2981233141754</v>
      </c>
    </row>
    <row r="108" spans="1:7" x14ac:dyDescent="0.3">
      <c r="A108" s="151">
        <v>760199</v>
      </c>
      <c r="B108" s="152">
        <v>43986</v>
      </c>
      <c r="C108" s="153">
        <v>3291.8600799999999</v>
      </c>
      <c r="D108" s="151">
        <v>-0.45</v>
      </c>
      <c r="E108" s="151" t="s">
        <v>305</v>
      </c>
      <c r="F108" s="152">
        <v>43978</v>
      </c>
      <c r="G108" s="155">
        <f t="shared" si="1"/>
        <v>5315.0993915167273</v>
      </c>
    </row>
    <row r="109" spans="1:7" x14ac:dyDescent="0.3">
      <c r="A109" s="151">
        <v>760199</v>
      </c>
      <c r="B109" s="152">
        <v>43987</v>
      </c>
      <c r="C109" s="153">
        <v>3291.1178239999999</v>
      </c>
      <c r="D109" s="151">
        <v>-0.45</v>
      </c>
      <c r="E109" s="151" t="s">
        <v>305</v>
      </c>
      <c r="F109" s="152">
        <v>43978</v>
      </c>
      <c r="G109" s="155">
        <f t="shared" si="1"/>
        <v>5313.9009309752482</v>
      </c>
    </row>
    <row r="110" spans="1:7" x14ac:dyDescent="0.3">
      <c r="A110" s="151">
        <v>760199</v>
      </c>
      <c r="B110" s="152">
        <v>43990</v>
      </c>
      <c r="C110" s="153">
        <v>3290.3757350000001</v>
      </c>
      <c r="D110" s="151">
        <v>-0.45</v>
      </c>
      <c r="E110" s="151" t="s">
        <v>305</v>
      </c>
      <c r="F110" s="152">
        <v>43978</v>
      </c>
      <c r="G110" s="155">
        <f t="shared" si="1"/>
        <v>5312.7027400751203</v>
      </c>
    </row>
    <row r="111" spans="1:7" x14ac:dyDescent="0.3">
      <c r="A111" s="151">
        <v>760199</v>
      </c>
      <c r="B111" s="152">
        <v>43991</v>
      </c>
      <c r="C111" s="153">
        <v>3289.6338129999999</v>
      </c>
      <c r="D111" s="151">
        <v>-0.45</v>
      </c>
      <c r="E111" s="151" t="s">
        <v>305</v>
      </c>
      <c r="F111" s="152">
        <v>43978</v>
      </c>
      <c r="G111" s="155">
        <f t="shared" si="1"/>
        <v>5311.5048188163428</v>
      </c>
    </row>
    <row r="112" spans="1:7" x14ac:dyDescent="0.3">
      <c r="A112" s="151">
        <v>760199</v>
      </c>
      <c r="B112" s="152">
        <v>43992</v>
      </c>
      <c r="C112" s="153">
        <v>3290.9740550000001</v>
      </c>
      <c r="D112" s="151">
        <v>-0.38</v>
      </c>
      <c r="E112" s="151" t="s">
        <v>9</v>
      </c>
      <c r="F112" s="152">
        <v>43992</v>
      </c>
      <c r="G112" s="155">
        <f t="shared" si="1"/>
        <v>5313.6687988354097</v>
      </c>
    </row>
    <row r="113" spans="1:7" x14ac:dyDescent="0.3">
      <c r="A113" s="151">
        <v>760199</v>
      </c>
      <c r="B113" s="152">
        <v>43994</v>
      </c>
      <c r="C113" s="153">
        <v>3290.3476780000001</v>
      </c>
      <c r="D113" s="151">
        <v>-0.38</v>
      </c>
      <c r="E113" s="151" t="s">
        <v>9</v>
      </c>
      <c r="F113" s="152">
        <v>43992</v>
      </c>
      <c r="G113" s="155">
        <f t="shared" si="1"/>
        <v>5312.6574387135788</v>
      </c>
    </row>
    <row r="114" spans="1:7" x14ac:dyDescent="0.3">
      <c r="A114" s="151">
        <v>760199</v>
      </c>
      <c r="B114" s="152">
        <v>43997</v>
      </c>
      <c r="C114" s="153">
        <v>3289.7214199999999</v>
      </c>
      <c r="D114" s="151">
        <v>-0.38</v>
      </c>
      <c r="E114" s="151" t="s">
        <v>9</v>
      </c>
      <c r="F114" s="152">
        <v>43992</v>
      </c>
      <c r="G114" s="155">
        <f t="shared" si="1"/>
        <v>5311.6462707313922</v>
      </c>
    </row>
    <row r="115" spans="1:7" x14ac:dyDescent="0.3">
      <c r="A115" s="151">
        <v>760199</v>
      </c>
      <c r="B115" s="152">
        <v>43998</v>
      </c>
      <c r="C115" s="153">
        <v>3290.0500470000002</v>
      </c>
      <c r="D115" s="151">
        <v>0.22</v>
      </c>
      <c r="E115" s="151" t="s">
        <v>305</v>
      </c>
      <c r="F115" s="152">
        <v>43998</v>
      </c>
      <c r="G115" s="155">
        <f t="shared" si="1"/>
        <v>5312.176878085681</v>
      </c>
    </row>
    <row r="116" spans="1:7" x14ac:dyDescent="0.3">
      <c r="A116" s="151">
        <v>760199</v>
      </c>
      <c r="B116" s="152">
        <v>43999</v>
      </c>
      <c r="C116" s="153">
        <v>3290.3787069999998</v>
      </c>
      <c r="D116" s="151">
        <v>0.22</v>
      </c>
      <c r="E116" s="151" t="s">
        <v>305</v>
      </c>
      <c r="F116" s="152">
        <v>43998</v>
      </c>
      <c r="G116" s="155">
        <f t="shared" si="1"/>
        <v>5312.7075387223913</v>
      </c>
    </row>
    <row r="117" spans="1:7" x14ac:dyDescent="0.3">
      <c r="A117" s="151">
        <v>760199</v>
      </c>
      <c r="B117" s="152">
        <v>44000</v>
      </c>
      <c r="C117" s="153">
        <v>3290.7073999999998</v>
      </c>
      <c r="D117" s="151">
        <v>0.22</v>
      </c>
      <c r="E117" s="151" t="s">
        <v>305</v>
      </c>
      <c r="F117" s="152">
        <v>43998</v>
      </c>
      <c r="G117" s="155">
        <f t="shared" si="1"/>
        <v>5313.238252641524</v>
      </c>
    </row>
    <row r="118" spans="1:7" x14ac:dyDescent="0.3">
      <c r="A118" s="151">
        <v>760199</v>
      </c>
      <c r="B118" s="152">
        <v>44001</v>
      </c>
      <c r="C118" s="153">
        <v>3291.0361250000001</v>
      </c>
      <c r="D118" s="151">
        <v>0.22</v>
      </c>
      <c r="E118" s="151" t="s">
        <v>305</v>
      </c>
      <c r="F118" s="152">
        <v>43998</v>
      </c>
      <c r="G118" s="155">
        <f t="shared" si="1"/>
        <v>5313.7690182284614</v>
      </c>
    </row>
    <row r="119" spans="1:7" x14ac:dyDescent="0.3">
      <c r="A119" s="151">
        <v>760199</v>
      </c>
      <c r="B119" s="152">
        <v>44004</v>
      </c>
      <c r="C119" s="153">
        <v>3291.3648840000001</v>
      </c>
      <c r="D119" s="151">
        <v>0.22</v>
      </c>
      <c r="E119" s="151" t="s">
        <v>305</v>
      </c>
      <c r="F119" s="152">
        <v>43998</v>
      </c>
      <c r="G119" s="155">
        <f t="shared" si="1"/>
        <v>5314.2998387124408</v>
      </c>
    </row>
    <row r="120" spans="1:7" x14ac:dyDescent="0.3">
      <c r="A120" s="151">
        <v>760199</v>
      </c>
      <c r="B120" s="152">
        <v>44005</v>
      </c>
      <c r="C120" s="153">
        <v>3291.693675</v>
      </c>
      <c r="D120" s="151">
        <v>0.22</v>
      </c>
      <c r="E120" s="151" t="s">
        <v>305</v>
      </c>
      <c r="F120" s="152">
        <v>43998</v>
      </c>
      <c r="G120" s="155">
        <f t="shared" si="1"/>
        <v>5314.830710864223</v>
      </c>
    </row>
    <row r="121" spans="1:7" x14ac:dyDescent="0.3">
      <c r="A121" s="151">
        <v>760199</v>
      </c>
      <c r="B121" s="152">
        <v>44006</v>
      </c>
      <c r="C121" s="153">
        <v>3292.0225</v>
      </c>
      <c r="D121" s="151">
        <v>0.22</v>
      </c>
      <c r="E121" s="151" t="s">
        <v>305</v>
      </c>
      <c r="F121" s="152">
        <v>43998</v>
      </c>
      <c r="G121" s="155">
        <f t="shared" si="1"/>
        <v>5315.3616379130472</v>
      </c>
    </row>
    <row r="122" spans="1:7" x14ac:dyDescent="0.3">
      <c r="A122" s="151">
        <v>760199</v>
      </c>
      <c r="B122" s="152">
        <v>44007</v>
      </c>
      <c r="C122" s="153">
        <v>3292.351357</v>
      </c>
      <c r="D122" s="151">
        <v>0.22</v>
      </c>
      <c r="E122" s="151" t="s">
        <v>305</v>
      </c>
      <c r="F122" s="152">
        <v>43998</v>
      </c>
      <c r="G122" s="155">
        <f t="shared" si="1"/>
        <v>5315.8926166296742</v>
      </c>
    </row>
    <row r="123" spans="1:7" x14ac:dyDescent="0.3">
      <c r="A123" s="151">
        <v>760199</v>
      </c>
      <c r="B123" s="152">
        <v>44008</v>
      </c>
      <c r="C123" s="153">
        <v>3293.3521719999999</v>
      </c>
      <c r="D123" s="151">
        <v>0.27</v>
      </c>
      <c r="E123" s="151" t="s">
        <v>305</v>
      </c>
      <c r="F123" s="152">
        <v>44008</v>
      </c>
      <c r="G123" s="155">
        <f t="shared" si="1"/>
        <v>5317.5085514106931</v>
      </c>
    </row>
    <row r="124" spans="1:7" x14ac:dyDescent="0.3">
      <c r="A124" s="151">
        <v>760199</v>
      </c>
      <c r="B124" s="152">
        <v>44011</v>
      </c>
      <c r="C124" s="153">
        <v>3293.7558359999998</v>
      </c>
      <c r="D124" s="151">
        <v>0.27</v>
      </c>
      <c r="E124" s="151" t="s">
        <v>305</v>
      </c>
      <c r="F124" s="152">
        <v>44008</v>
      </c>
      <c r="G124" s="155">
        <f t="shared" si="1"/>
        <v>5318.1603149208777</v>
      </c>
    </row>
    <row r="125" spans="1:7" x14ac:dyDescent="0.3">
      <c r="A125" s="151">
        <v>760199</v>
      </c>
      <c r="B125" s="152">
        <v>44012</v>
      </c>
      <c r="C125" s="153">
        <v>3294.1595499999999</v>
      </c>
      <c r="D125" s="151">
        <v>0.27</v>
      </c>
      <c r="E125" s="151" t="s">
        <v>305</v>
      </c>
      <c r="F125" s="152">
        <v>44008</v>
      </c>
      <c r="G125" s="155">
        <f t="shared" si="1"/>
        <v>5318.8121591620056</v>
      </c>
    </row>
    <row r="126" spans="1:7" x14ac:dyDescent="0.3">
      <c r="A126" s="151">
        <v>760199</v>
      </c>
      <c r="B126" s="152">
        <v>44013</v>
      </c>
      <c r="C126" s="153">
        <v>3294.5633130000001</v>
      </c>
      <c r="D126" s="151">
        <v>0.27</v>
      </c>
      <c r="E126" s="151" t="s">
        <v>305</v>
      </c>
      <c r="F126" s="152">
        <v>44008</v>
      </c>
      <c r="G126" s="155">
        <f t="shared" si="1"/>
        <v>5319.4640825194583</v>
      </c>
    </row>
    <row r="127" spans="1:7" x14ac:dyDescent="0.3">
      <c r="A127" s="151">
        <v>760199</v>
      </c>
      <c r="B127" s="152">
        <v>44014</v>
      </c>
      <c r="C127" s="153">
        <v>3294.967126</v>
      </c>
      <c r="D127" s="151">
        <v>0.27</v>
      </c>
      <c r="E127" s="151" t="s">
        <v>305</v>
      </c>
      <c r="F127" s="152">
        <v>44008</v>
      </c>
      <c r="G127" s="155">
        <f t="shared" si="1"/>
        <v>5320.1160866078535</v>
      </c>
    </row>
    <row r="128" spans="1:7" x14ac:dyDescent="0.3">
      <c r="A128" s="151">
        <v>760199</v>
      </c>
      <c r="B128" s="152">
        <v>44015</v>
      </c>
      <c r="C128" s="153">
        <v>3295.3709880000001</v>
      </c>
      <c r="D128" s="151">
        <v>0.27</v>
      </c>
      <c r="E128" s="151" t="s">
        <v>305</v>
      </c>
      <c r="F128" s="152">
        <v>44008</v>
      </c>
      <c r="G128" s="155">
        <f t="shared" si="1"/>
        <v>5320.7681698125743</v>
      </c>
    </row>
    <row r="129" spans="1:7" x14ac:dyDescent="0.3">
      <c r="A129" s="151">
        <v>760199</v>
      </c>
      <c r="B129" s="152">
        <v>44018</v>
      </c>
      <c r="C129" s="153">
        <v>3295.774899</v>
      </c>
      <c r="D129" s="151">
        <v>0.27</v>
      </c>
      <c r="E129" s="151" t="s">
        <v>305</v>
      </c>
      <c r="F129" s="152">
        <v>44008</v>
      </c>
      <c r="G129" s="155">
        <f t="shared" si="1"/>
        <v>5321.420332133619</v>
      </c>
    </row>
    <row r="130" spans="1:7" x14ac:dyDescent="0.3">
      <c r="A130" s="151">
        <v>760199</v>
      </c>
      <c r="B130" s="152">
        <v>44019</v>
      </c>
      <c r="C130" s="153">
        <v>3296.17886</v>
      </c>
      <c r="D130" s="151">
        <v>0.27</v>
      </c>
      <c r="E130" s="151" t="s">
        <v>305</v>
      </c>
      <c r="F130" s="152">
        <v>44008</v>
      </c>
      <c r="G130" s="155">
        <f t="shared" si="1"/>
        <v>5322.0725751856071</v>
      </c>
    </row>
    <row r="131" spans="1:7" x14ac:dyDescent="0.3">
      <c r="A131" s="151">
        <v>760199</v>
      </c>
      <c r="B131" s="152">
        <v>44020</v>
      </c>
      <c r="C131" s="153">
        <v>3296.5828710000001</v>
      </c>
      <c r="D131" s="151">
        <v>0.27</v>
      </c>
      <c r="E131" s="151" t="s">
        <v>305</v>
      </c>
      <c r="F131" s="152">
        <v>44008</v>
      </c>
      <c r="G131" s="155">
        <f t="shared" si="1"/>
        <v>5322.7248989685386</v>
      </c>
    </row>
    <row r="132" spans="1:7" x14ac:dyDescent="0.3">
      <c r="A132" s="151">
        <v>760199</v>
      </c>
      <c r="B132" s="152">
        <v>44021</v>
      </c>
      <c r="C132" s="153">
        <v>3296.9869309999999</v>
      </c>
      <c r="D132" s="151">
        <v>0.27</v>
      </c>
      <c r="E132" s="151" t="s">
        <v>305</v>
      </c>
      <c r="F132" s="152">
        <v>44008</v>
      </c>
      <c r="G132" s="155">
        <f t="shared" si="1"/>
        <v>5323.3773018677939</v>
      </c>
    </row>
    <row r="133" spans="1:7" x14ac:dyDescent="0.3">
      <c r="A133" s="151">
        <v>760199</v>
      </c>
      <c r="B133" s="152">
        <v>44022</v>
      </c>
      <c r="C133" s="153">
        <v>3297.1068759999998</v>
      </c>
      <c r="D133" s="151">
        <v>0.26</v>
      </c>
      <c r="E133" s="151" t="s">
        <v>9</v>
      </c>
      <c r="F133" s="152">
        <v>44022</v>
      </c>
      <c r="G133" s="155">
        <f t="shared" ref="G133:G196" si="2">+C133/C132*G132</f>
        <v>5323.5709673277534</v>
      </c>
    </row>
    <row r="134" spans="1:7" x14ac:dyDescent="0.3">
      <c r="A134" s="151">
        <v>760199</v>
      </c>
      <c r="B134" s="152">
        <v>44025</v>
      </c>
      <c r="C134" s="153">
        <v>3297.4960430000001</v>
      </c>
      <c r="D134" s="151">
        <v>0.26</v>
      </c>
      <c r="E134" s="151" t="s">
        <v>9</v>
      </c>
      <c r="F134" s="152">
        <v>44022</v>
      </c>
      <c r="G134" s="155">
        <f t="shared" si="2"/>
        <v>5324.1993237082288</v>
      </c>
    </row>
    <row r="135" spans="1:7" x14ac:dyDescent="0.3">
      <c r="A135" s="151">
        <v>760199</v>
      </c>
      <c r="B135" s="152">
        <v>44026</v>
      </c>
      <c r="C135" s="153">
        <v>3297.885256</v>
      </c>
      <c r="D135" s="151">
        <v>0.26</v>
      </c>
      <c r="E135" s="151" t="s">
        <v>9</v>
      </c>
      <c r="F135" s="152">
        <v>44022</v>
      </c>
      <c r="G135" s="155">
        <f t="shared" si="2"/>
        <v>5324.8277543611721</v>
      </c>
    </row>
    <row r="136" spans="1:7" x14ac:dyDescent="0.3">
      <c r="A136" s="151">
        <v>760199</v>
      </c>
      <c r="B136" s="152">
        <v>44027</v>
      </c>
      <c r="C136" s="153">
        <v>3298.2745159999999</v>
      </c>
      <c r="D136" s="151">
        <v>0.26</v>
      </c>
      <c r="E136" s="151" t="s">
        <v>9</v>
      </c>
      <c r="F136" s="152">
        <v>44022</v>
      </c>
      <c r="G136" s="155">
        <f t="shared" si="2"/>
        <v>5325.4562609012009</v>
      </c>
    </row>
    <row r="137" spans="1:7" x14ac:dyDescent="0.3">
      <c r="A137" s="151">
        <v>760199</v>
      </c>
      <c r="B137" s="152">
        <v>44028</v>
      </c>
      <c r="C137" s="153">
        <v>3299.0040939999999</v>
      </c>
      <c r="D137" s="151">
        <v>0.51</v>
      </c>
      <c r="E137" s="151" t="s">
        <v>305</v>
      </c>
      <c r="F137" s="152">
        <v>44028</v>
      </c>
      <c r="G137" s="155">
        <f t="shared" si="2"/>
        <v>5326.6342513046884</v>
      </c>
    </row>
    <row r="138" spans="1:7" x14ac:dyDescent="0.3">
      <c r="A138" s="151">
        <v>760199</v>
      </c>
      <c r="B138" s="152">
        <v>44029</v>
      </c>
      <c r="C138" s="153">
        <v>3299.7338340000001</v>
      </c>
      <c r="D138" s="151">
        <v>0.51</v>
      </c>
      <c r="E138" s="151" t="s">
        <v>305</v>
      </c>
      <c r="F138" s="152">
        <v>44028</v>
      </c>
      <c r="G138" s="155">
        <f t="shared" si="2"/>
        <v>5327.8125032764319</v>
      </c>
    </row>
    <row r="139" spans="1:7" x14ac:dyDescent="0.3">
      <c r="A139" s="151">
        <v>760199</v>
      </c>
      <c r="B139" s="152">
        <v>44032</v>
      </c>
      <c r="C139" s="153">
        <v>3300.4637349999998</v>
      </c>
      <c r="D139" s="151">
        <v>0.51</v>
      </c>
      <c r="E139" s="151" t="s">
        <v>305</v>
      </c>
      <c r="F139" s="152">
        <v>44028</v>
      </c>
      <c r="G139" s="155">
        <f t="shared" si="2"/>
        <v>5328.9910152018128</v>
      </c>
    </row>
    <row r="140" spans="1:7" x14ac:dyDescent="0.3">
      <c r="A140" s="151">
        <v>760199</v>
      </c>
      <c r="B140" s="152">
        <v>44033</v>
      </c>
      <c r="C140" s="153">
        <v>3301.1937979999998</v>
      </c>
      <c r="D140" s="151">
        <v>0.51</v>
      </c>
      <c r="E140" s="151" t="s">
        <v>305</v>
      </c>
      <c r="F140" s="152">
        <v>44028</v>
      </c>
      <c r="G140" s="155">
        <f t="shared" si="2"/>
        <v>5330.1697886954507</v>
      </c>
    </row>
    <row r="141" spans="1:7" x14ac:dyDescent="0.3">
      <c r="A141" s="151">
        <v>760199</v>
      </c>
      <c r="B141" s="152">
        <v>44034</v>
      </c>
      <c r="C141" s="153">
        <v>3301.9240220000002</v>
      </c>
      <c r="D141" s="151">
        <v>0.51</v>
      </c>
      <c r="E141" s="151" t="s">
        <v>305</v>
      </c>
      <c r="F141" s="152">
        <v>44028</v>
      </c>
      <c r="G141" s="155">
        <f t="shared" si="2"/>
        <v>5331.3488221427269</v>
      </c>
    </row>
    <row r="142" spans="1:7" x14ac:dyDescent="0.3">
      <c r="A142" s="151">
        <v>760199</v>
      </c>
      <c r="B142" s="152">
        <v>44035</v>
      </c>
      <c r="C142" s="153">
        <v>3302.6544079999999</v>
      </c>
      <c r="D142" s="151">
        <v>0.51</v>
      </c>
      <c r="E142" s="151" t="s">
        <v>305</v>
      </c>
      <c r="F142" s="152">
        <v>44028</v>
      </c>
      <c r="G142" s="155">
        <f t="shared" si="2"/>
        <v>5332.5281171582583</v>
      </c>
    </row>
    <row r="143" spans="1:7" x14ac:dyDescent="0.3">
      <c r="A143" s="151">
        <v>760199</v>
      </c>
      <c r="B143" s="152">
        <v>44036</v>
      </c>
      <c r="C143" s="153">
        <v>3303.3849559999999</v>
      </c>
      <c r="D143" s="151">
        <v>0.51</v>
      </c>
      <c r="E143" s="151" t="s">
        <v>305</v>
      </c>
      <c r="F143" s="152">
        <v>44028</v>
      </c>
      <c r="G143" s="155">
        <f t="shared" si="2"/>
        <v>5333.7076737420466</v>
      </c>
    </row>
    <row r="144" spans="1:7" x14ac:dyDescent="0.3">
      <c r="A144" s="151">
        <v>760199</v>
      </c>
      <c r="B144" s="152">
        <v>44039</v>
      </c>
      <c r="C144" s="153">
        <v>3302.5141400000002</v>
      </c>
      <c r="D144" s="151">
        <v>0.37</v>
      </c>
      <c r="E144" s="151" t="s">
        <v>305</v>
      </c>
      <c r="F144" s="152">
        <v>44039</v>
      </c>
      <c r="G144" s="155">
        <f t="shared" si="2"/>
        <v>5332.3016377990725</v>
      </c>
    </row>
    <row r="145" spans="1:7" x14ac:dyDescent="0.3">
      <c r="A145" s="151">
        <v>760199</v>
      </c>
      <c r="B145" s="152">
        <v>44040</v>
      </c>
      <c r="C145" s="153">
        <v>3303.0444769999999</v>
      </c>
      <c r="D145" s="151">
        <v>0.37</v>
      </c>
      <c r="E145" s="151" t="s">
        <v>305</v>
      </c>
      <c r="F145" s="152">
        <v>44039</v>
      </c>
      <c r="G145" s="155">
        <f t="shared" si="2"/>
        <v>5333.1579299249515</v>
      </c>
    </row>
    <row r="146" spans="1:7" x14ac:dyDescent="0.3">
      <c r="A146" s="151">
        <v>760199</v>
      </c>
      <c r="B146" s="152">
        <v>44041</v>
      </c>
      <c r="C146" s="153">
        <v>3303.5748979999998</v>
      </c>
      <c r="D146" s="151">
        <v>0.37</v>
      </c>
      <c r="E146" s="151" t="s">
        <v>305</v>
      </c>
      <c r="F146" s="152">
        <v>44039</v>
      </c>
      <c r="G146" s="155">
        <f t="shared" si="2"/>
        <v>5334.014357678815</v>
      </c>
    </row>
    <row r="147" spans="1:7" x14ac:dyDescent="0.3">
      <c r="A147" s="151">
        <v>760199</v>
      </c>
      <c r="B147" s="152">
        <v>44042</v>
      </c>
      <c r="C147" s="153">
        <v>3304.1054039999999</v>
      </c>
      <c r="D147" s="151">
        <v>0.37</v>
      </c>
      <c r="E147" s="151" t="s">
        <v>305</v>
      </c>
      <c r="F147" s="152">
        <v>44039</v>
      </c>
      <c r="G147" s="155">
        <f t="shared" si="2"/>
        <v>5334.8709226752817</v>
      </c>
    </row>
    <row r="148" spans="1:7" x14ac:dyDescent="0.3">
      <c r="A148" s="151">
        <v>760199</v>
      </c>
      <c r="B148" s="152">
        <v>44043</v>
      </c>
      <c r="C148" s="153">
        <v>3304.635996</v>
      </c>
      <c r="D148" s="151">
        <v>0.37</v>
      </c>
      <c r="E148" s="151" t="s">
        <v>305</v>
      </c>
      <c r="F148" s="152">
        <v>44039</v>
      </c>
      <c r="G148" s="155">
        <f t="shared" si="2"/>
        <v>5335.727626528972</v>
      </c>
    </row>
    <row r="149" spans="1:7" x14ac:dyDescent="0.3">
      <c r="A149" s="151">
        <v>760199</v>
      </c>
      <c r="B149" s="152">
        <v>44046</v>
      </c>
      <c r="C149" s="153">
        <v>3305.1666730000002</v>
      </c>
      <c r="D149" s="151">
        <v>0.37</v>
      </c>
      <c r="E149" s="151" t="s">
        <v>305</v>
      </c>
      <c r="F149" s="152">
        <v>44039</v>
      </c>
      <c r="G149" s="155">
        <f t="shared" si="2"/>
        <v>5336.5844676252655</v>
      </c>
    </row>
    <row r="150" spans="1:7" x14ac:dyDescent="0.3">
      <c r="A150" s="151">
        <v>760199</v>
      </c>
      <c r="B150" s="152">
        <v>44047</v>
      </c>
      <c r="C150" s="153">
        <v>3305.697435</v>
      </c>
      <c r="D150" s="151">
        <v>0.37</v>
      </c>
      <c r="E150" s="151" t="s">
        <v>305</v>
      </c>
      <c r="F150" s="152">
        <v>44039</v>
      </c>
      <c r="G150" s="155">
        <f t="shared" si="2"/>
        <v>5337.441445964163</v>
      </c>
    </row>
    <row r="151" spans="1:7" x14ac:dyDescent="0.3">
      <c r="A151" s="151">
        <v>760199</v>
      </c>
      <c r="B151" s="152">
        <v>44048</v>
      </c>
      <c r="C151" s="153">
        <v>3306.228282</v>
      </c>
      <c r="D151" s="151">
        <v>0.37</v>
      </c>
      <c r="E151" s="151" t="s">
        <v>305</v>
      </c>
      <c r="F151" s="152">
        <v>44039</v>
      </c>
      <c r="G151" s="155">
        <f t="shared" si="2"/>
        <v>5338.2985615456637</v>
      </c>
    </row>
    <row r="152" spans="1:7" x14ac:dyDescent="0.3">
      <c r="A152" s="151">
        <v>760199</v>
      </c>
      <c r="B152" s="152">
        <v>44049</v>
      </c>
      <c r="C152" s="153">
        <v>3306.759215</v>
      </c>
      <c r="D152" s="151">
        <v>0.37</v>
      </c>
      <c r="E152" s="151" t="s">
        <v>305</v>
      </c>
      <c r="F152" s="152">
        <v>44039</v>
      </c>
      <c r="G152" s="155">
        <f t="shared" si="2"/>
        <v>5339.1558159843871</v>
      </c>
    </row>
    <row r="153" spans="1:7" x14ac:dyDescent="0.3">
      <c r="A153" s="151">
        <v>760199</v>
      </c>
      <c r="B153" s="152">
        <v>44050</v>
      </c>
      <c r="C153" s="153">
        <v>3307.0459219999998</v>
      </c>
      <c r="D153" s="151">
        <v>0.36</v>
      </c>
      <c r="E153" s="151" t="s">
        <v>9</v>
      </c>
      <c r="F153" s="152">
        <v>44050</v>
      </c>
      <c r="G153" s="155">
        <f t="shared" si="2"/>
        <v>5339.6187385157855</v>
      </c>
    </row>
    <row r="154" spans="1:7" x14ac:dyDescent="0.3">
      <c r="A154" s="151">
        <v>760199</v>
      </c>
      <c r="B154" s="152">
        <v>44053</v>
      </c>
      <c r="C154" s="153">
        <v>3307.5626120000002</v>
      </c>
      <c r="D154" s="151">
        <v>0.36</v>
      </c>
      <c r="E154" s="151" t="s">
        <v>9</v>
      </c>
      <c r="F154" s="152">
        <v>44050</v>
      </c>
      <c r="G154" s="155">
        <f t="shared" si="2"/>
        <v>5340.4529959379915</v>
      </c>
    </row>
    <row r="155" spans="1:7" x14ac:dyDescent="0.3">
      <c r="A155" s="151">
        <v>760199</v>
      </c>
      <c r="B155" s="152">
        <v>44054</v>
      </c>
      <c r="C155" s="153">
        <v>3308.0793840000001</v>
      </c>
      <c r="D155" s="151">
        <v>0.36</v>
      </c>
      <c r="E155" s="151" t="s">
        <v>9</v>
      </c>
      <c r="F155" s="152">
        <v>44050</v>
      </c>
      <c r="G155" s="155">
        <f t="shared" si="2"/>
        <v>5341.2873857589439</v>
      </c>
    </row>
    <row r="156" spans="1:7" x14ac:dyDescent="0.3">
      <c r="A156" s="151">
        <v>760199</v>
      </c>
      <c r="B156" s="152">
        <v>44055</v>
      </c>
      <c r="C156" s="153">
        <v>3308.5962359999999</v>
      </c>
      <c r="D156" s="151">
        <v>0.36</v>
      </c>
      <c r="E156" s="151" t="s">
        <v>9</v>
      </c>
      <c r="F156" s="152">
        <v>44050</v>
      </c>
      <c r="G156" s="155">
        <f t="shared" si="2"/>
        <v>5342.1219047494051</v>
      </c>
    </row>
    <row r="157" spans="1:7" x14ac:dyDescent="0.3">
      <c r="A157" s="151">
        <v>760199</v>
      </c>
      <c r="B157" s="152">
        <v>44056</v>
      </c>
      <c r="C157" s="153">
        <v>3309.1131700000001</v>
      </c>
      <c r="D157" s="151">
        <v>0.36</v>
      </c>
      <c r="E157" s="151" t="s">
        <v>9</v>
      </c>
      <c r="F157" s="152">
        <v>44050</v>
      </c>
      <c r="G157" s="155">
        <f t="shared" si="2"/>
        <v>5342.9565561386144</v>
      </c>
    </row>
    <row r="158" spans="1:7" x14ac:dyDescent="0.3">
      <c r="A158" s="151">
        <v>760199</v>
      </c>
      <c r="B158" s="152">
        <v>44057</v>
      </c>
      <c r="C158" s="153">
        <v>3309.6301830000002</v>
      </c>
      <c r="D158" s="151">
        <v>0.36</v>
      </c>
      <c r="E158" s="151" t="s">
        <v>9</v>
      </c>
      <c r="F158" s="152">
        <v>44050</v>
      </c>
      <c r="G158" s="155">
        <f t="shared" si="2"/>
        <v>5343.7913350827148</v>
      </c>
    </row>
    <row r="159" spans="1:7" x14ac:dyDescent="0.3">
      <c r="A159" s="151">
        <v>760199</v>
      </c>
      <c r="B159" s="152">
        <v>44060</v>
      </c>
      <c r="C159" s="153">
        <v>3310.1472789999998</v>
      </c>
      <c r="D159" s="151">
        <v>0.36</v>
      </c>
      <c r="E159" s="151" t="s">
        <v>9</v>
      </c>
      <c r="F159" s="152">
        <v>44050</v>
      </c>
      <c r="G159" s="155">
        <f t="shared" si="2"/>
        <v>5344.6262480401792</v>
      </c>
    </row>
    <row r="160" spans="1:7" x14ac:dyDescent="0.3">
      <c r="A160" s="151">
        <v>760199</v>
      </c>
      <c r="B160" s="152">
        <v>44061</v>
      </c>
      <c r="C160" s="153">
        <v>3310.3457739999999</v>
      </c>
      <c r="D160" s="151">
        <v>0.12</v>
      </c>
      <c r="E160" s="151" t="s">
        <v>305</v>
      </c>
      <c r="F160" s="152">
        <v>44061</v>
      </c>
      <c r="G160" s="155">
        <f t="shared" si="2"/>
        <v>5344.9467418121139</v>
      </c>
    </row>
    <row r="161" spans="1:7" x14ac:dyDescent="0.3">
      <c r="A161" s="151">
        <v>760199</v>
      </c>
      <c r="B161" s="152">
        <v>44062</v>
      </c>
      <c r="C161" s="153">
        <v>3310.5442819999998</v>
      </c>
      <c r="D161" s="151">
        <v>0.12</v>
      </c>
      <c r="E161" s="151" t="s">
        <v>305</v>
      </c>
      <c r="F161" s="152">
        <v>44061</v>
      </c>
      <c r="G161" s="155">
        <f t="shared" si="2"/>
        <v>5345.2672565740932</v>
      </c>
    </row>
    <row r="162" spans="1:7" x14ac:dyDescent="0.3">
      <c r="A162" s="151">
        <v>760199</v>
      </c>
      <c r="B162" s="152">
        <v>44063</v>
      </c>
      <c r="C162" s="153">
        <v>3310.7428009999999</v>
      </c>
      <c r="D162" s="151">
        <v>0.12</v>
      </c>
      <c r="E162" s="151" t="s">
        <v>305</v>
      </c>
      <c r="F162" s="152">
        <v>44061</v>
      </c>
      <c r="G162" s="155">
        <f t="shared" si="2"/>
        <v>5345.5877890968795</v>
      </c>
    </row>
    <row r="163" spans="1:7" x14ac:dyDescent="0.3">
      <c r="A163" s="151">
        <v>760199</v>
      </c>
      <c r="B163" s="152">
        <v>44064</v>
      </c>
      <c r="C163" s="153">
        <v>3310.9413330000002</v>
      </c>
      <c r="D163" s="151">
        <v>0.12</v>
      </c>
      <c r="E163" s="151" t="s">
        <v>305</v>
      </c>
      <c r="F163" s="152">
        <v>44061</v>
      </c>
      <c r="G163" s="155">
        <f t="shared" si="2"/>
        <v>5345.9083426097122</v>
      </c>
    </row>
    <row r="164" spans="1:7" x14ac:dyDescent="0.3">
      <c r="A164" s="151">
        <v>760199</v>
      </c>
      <c r="B164" s="152">
        <v>44067</v>
      </c>
      <c r="C164" s="153">
        <v>3311.1398760000002</v>
      </c>
      <c r="D164" s="151">
        <v>0.12</v>
      </c>
      <c r="E164" s="151" t="s">
        <v>305</v>
      </c>
      <c r="F164" s="152">
        <v>44061</v>
      </c>
      <c r="G164" s="155">
        <f t="shared" si="2"/>
        <v>5346.2289138833521</v>
      </c>
    </row>
    <row r="165" spans="1:7" x14ac:dyDescent="0.3">
      <c r="A165" s="151">
        <v>760199</v>
      </c>
      <c r="B165" s="152">
        <v>44068</v>
      </c>
      <c r="C165" s="153">
        <v>3311.3384310000001</v>
      </c>
      <c r="D165" s="151">
        <v>0.12</v>
      </c>
      <c r="E165" s="151" t="s">
        <v>305</v>
      </c>
      <c r="F165" s="152">
        <v>44061</v>
      </c>
      <c r="G165" s="155">
        <f t="shared" si="2"/>
        <v>5346.5495045324187</v>
      </c>
    </row>
    <row r="166" spans="1:7" x14ac:dyDescent="0.3">
      <c r="A166" s="151">
        <v>760199</v>
      </c>
      <c r="B166" s="152">
        <v>44069</v>
      </c>
      <c r="C166" s="153">
        <v>3312.5785780000001</v>
      </c>
      <c r="D166" s="151">
        <v>0.21</v>
      </c>
      <c r="E166" s="151" t="s">
        <v>305</v>
      </c>
      <c r="F166" s="152">
        <v>44069</v>
      </c>
      <c r="G166" s="155">
        <f t="shared" si="2"/>
        <v>5348.5518692760297</v>
      </c>
    </row>
    <row r="167" spans="1:7" x14ac:dyDescent="0.3">
      <c r="A167" s="151">
        <v>760199</v>
      </c>
      <c r="B167" s="152">
        <v>44070</v>
      </c>
      <c r="C167" s="153">
        <v>3312.9260519999998</v>
      </c>
      <c r="D167" s="151">
        <v>0.21</v>
      </c>
      <c r="E167" s="151" t="s">
        <v>305</v>
      </c>
      <c r="F167" s="152">
        <v>44069</v>
      </c>
      <c r="G167" s="155">
        <f t="shared" si="2"/>
        <v>5349.112907352097</v>
      </c>
    </row>
    <row r="168" spans="1:7" x14ac:dyDescent="0.3">
      <c r="A168" s="151">
        <v>760199</v>
      </c>
      <c r="B168" s="152">
        <v>44071</v>
      </c>
      <c r="C168" s="153">
        <v>3313.2735630000002</v>
      </c>
      <c r="D168" s="151">
        <v>0.21</v>
      </c>
      <c r="E168" s="151" t="s">
        <v>305</v>
      </c>
      <c r="F168" s="152">
        <v>44069</v>
      </c>
      <c r="G168" s="155">
        <f t="shared" si="2"/>
        <v>5349.6740051690631</v>
      </c>
    </row>
    <row r="169" spans="1:7" x14ac:dyDescent="0.3">
      <c r="A169" s="151">
        <v>760199</v>
      </c>
      <c r="B169" s="152">
        <v>44074</v>
      </c>
      <c r="C169" s="153">
        <v>3313.62111</v>
      </c>
      <c r="D169" s="151">
        <v>0.21</v>
      </c>
      <c r="E169" s="151" t="s">
        <v>305</v>
      </c>
      <c r="F169" s="152">
        <v>44069</v>
      </c>
      <c r="G169" s="155">
        <f t="shared" si="2"/>
        <v>5350.2351611123077</v>
      </c>
    </row>
    <row r="170" spans="1:7" x14ac:dyDescent="0.3">
      <c r="A170" s="151">
        <v>760199</v>
      </c>
      <c r="B170" s="152">
        <v>44075</v>
      </c>
      <c r="C170" s="153">
        <v>3313.9686940000001</v>
      </c>
      <c r="D170" s="151">
        <v>0.21</v>
      </c>
      <c r="E170" s="151" t="s">
        <v>305</v>
      </c>
      <c r="F170" s="152">
        <v>44069</v>
      </c>
      <c r="G170" s="155">
        <f t="shared" si="2"/>
        <v>5350.7963767964511</v>
      </c>
    </row>
    <row r="171" spans="1:7" x14ac:dyDescent="0.3">
      <c r="A171" s="151">
        <v>760199</v>
      </c>
      <c r="B171" s="152">
        <v>44076</v>
      </c>
      <c r="C171" s="153">
        <v>3314.3163140000001</v>
      </c>
      <c r="D171" s="151">
        <v>0.21</v>
      </c>
      <c r="E171" s="151" t="s">
        <v>305</v>
      </c>
      <c r="F171" s="152">
        <v>44069</v>
      </c>
      <c r="G171" s="155">
        <f t="shared" si="2"/>
        <v>5351.3576506068739</v>
      </c>
    </row>
    <row r="172" spans="1:7" x14ac:dyDescent="0.3">
      <c r="A172" s="151">
        <v>760199</v>
      </c>
      <c r="B172" s="152">
        <v>44077</v>
      </c>
      <c r="C172" s="153">
        <v>3314.6639709999999</v>
      </c>
      <c r="D172" s="151">
        <v>0.21</v>
      </c>
      <c r="E172" s="151" t="s">
        <v>305</v>
      </c>
      <c r="F172" s="152">
        <v>44069</v>
      </c>
      <c r="G172" s="155">
        <f t="shared" si="2"/>
        <v>5351.9189841581938</v>
      </c>
    </row>
    <row r="173" spans="1:7" x14ac:dyDescent="0.3">
      <c r="A173" s="151">
        <v>760199</v>
      </c>
      <c r="B173" s="152">
        <v>44078</v>
      </c>
      <c r="C173" s="153">
        <v>3315.0116640000001</v>
      </c>
      <c r="D173" s="151">
        <v>0.21</v>
      </c>
      <c r="E173" s="151" t="s">
        <v>305</v>
      </c>
      <c r="F173" s="152">
        <v>44069</v>
      </c>
      <c r="G173" s="155">
        <f t="shared" si="2"/>
        <v>5352.4803758357939</v>
      </c>
    </row>
    <row r="174" spans="1:7" x14ac:dyDescent="0.3">
      <c r="A174" s="151">
        <v>760199</v>
      </c>
      <c r="B174" s="152">
        <v>44082</v>
      </c>
      <c r="C174" s="153">
        <v>3315.3593930000002</v>
      </c>
      <c r="D174" s="151">
        <v>0.21</v>
      </c>
      <c r="E174" s="151" t="s">
        <v>305</v>
      </c>
      <c r="F174" s="152">
        <v>44069</v>
      </c>
      <c r="G174" s="155">
        <f t="shared" si="2"/>
        <v>5353.0418256396724</v>
      </c>
    </row>
    <row r="175" spans="1:7" x14ac:dyDescent="0.3">
      <c r="A175" s="151">
        <v>760199</v>
      </c>
      <c r="B175" s="152">
        <v>44083</v>
      </c>
      <c r="C175" s="153">
        <v>3316.5026680000001</v>
      </c>
      <c r="D175" s="151">
        <v>0.24</v>
      </c>
      <c r="E175" s="151" t="s">
        <v>9</v>
      </c>
      <c r="F175" s="152">
        <v>44083</v>
      </c>
      <c r="G175" s="155">
        <f t="shared" si="2"/>
        <v>5354.8877790244342</v>
      </c>
    </row>
    <row r="176" spans="1:7" x14ac:dyDescent="0.3">
      <c r="A176" s="151">
        <v>760199</v>
      </c>
      <c r="B176" s="152">
        <v>44084</v>
      </c>
      <c r="C176" s="153">
        <v>3316.9002839999998</v>
      </c>
      <c r="D176" s="151">
        <v>0.24</v>
      </c>
      <c r="E176" s="151" t="s">
        <v>9</v>
      </c>
      <c r="F176" s="152">
        <v>44083</v>
      </c>
      <c r="G176" s="155">
        <f t="shared" si="2"/>
        <v>5355.5297773197126</v>
      </c>
    </row>
    <row r="177" spans="1:7" x14ac:dyDescent="0.3">
      <c r="A177" s="151">
        <v>760199</v>
      </c>
      <c r="B177" s="152">
        <v>44085</v>
      </c>
      <c r="C177" s="153">
        <v>3317.2979489999998</v>
      </c>
      <c r="D177" s="151">
        <v>0.24</v>
      </c>
      <c r="E177" s="151" t="s">
        <v>9</v>
      </c>
      <c r="F177" s="152">
        <v>44083</v>
      </c>
      <c r="G177" s="155">
        <f t="shared" si="2"/>
        <v>5356.1718547313158</v>
      </c>
    </row>
    <row r="178" spans="1:7" x14ac:dyDescent="0.3">
      <c r="A178" s="151">
        <v>760199</v>
      </c>
      <c r="B178" s="152">
        <v>44088</v>
      </c>
      <c r="C178" s="153">
        <v>3317.6956610000002</v>
      </c>
      <c r="D178" s="151">
        <v>0.24</v>
      </c>
      <c r="E178" s="151" t="s">
        <v>9</v>
      </c>
      <c r="F178" s="152">
        <v>44083</v>
      </c>
      <c r="G178" s="155">
        <f t="shared" si="2"/>
        <v>5356.8140080300063</v>
      </c>
    </row>
    <row r="179" spans="1:7" x14ac:dyDescent="0.3">
      <c r="A179" s="151">
        <v>760199</v>
      </c>
      <c r="B179" s="152">
        <v>44089</v>
      </c>
      <c r="C179" s="153">
        <v>3318.093421</v>
      </c>
      <c r="D179" s="151">
        <v>0.24</v>
      </c>
      <c r="E179" s="151" t="s">
        <v>9</v>
      </c>
      <c r="F179" s="152">
        <v>44083</v>
      </c>
      <c r="G179" s="155">
        <f t="shared" si="2"/>
        <v>5357.4562388304021</v>
      </c>
    </row>
    <row r="180" spans="1:7" x14ac:dyDescent="0.3">
      <c r="A180" s="151">
        <v>760199</v>
      </c>
      <c r="B180" s="152">
        <v>44090</v>
      </c>
      <c r="C180" s="153">
        <v>3318.4879620000002</v>
      </c>
      <c r="D180" s="151">
        <v>0.25</v>
      </c>
      <c r="E180" s="151" t="s">
        <v>305</v>
      </c>
      <c r="F180" s="152">
        <v>44090</v>
      </c>
      <c r="G180" s="155">
        <f t="shared" si="2"/>
        <v>5358.0932721726667</v>
      </c>
    </row>
    <row r="181" spans="1:7" x14ac:dyDescent="0.3">
      <c r="A181" s="151">
        <v>760199</v>
      </c>
      <c r="B181" s="152">
        <v>44091</v>
      </c>
      <c r="C181" s="153">
        <v>3318.8825510000001</v>
      </c>
      <c r="D181" s="151">
        <v>0.25</v>
      </c>
      <c r="E181" s="151" t="s">
        <v>305</v>
      </c>
      <c r="F181" s="152">
        <v>44090</v>
      </c>
      <c r="G181" s="155">
        <f t="shared" si="2"/>
        <v>5358.7303830166366</v>
      </c>
    </row>
    <row r="182" spans="1:7" x14ac:dyDescent="0.3">
      <c r="A182" s="151">
        <v>760199</v>
      </c>
      <c r="B182" s="152">
        <v>44092</v>
      </c>
      <c r="C182" s="153">
        <v>3319.2771859999998</v>
      </c>
      <c r="D182" s="151">
        <v>0.25</v>
      </c>
      <c r="E182" s="151" t="s">
        <v>305</v>
      </c>
      <c r="F182" s="152">
        <v>44090</v>
      </c>
      <c r="G182" s="155">
        <f t="shared" si="2"/>
        <v>5359.3675681330742</v>
      </c>
    </row>
    <row r="183" spans="1:7" x14ac:dyDescent="0.3">
      <c r="A183" s="151">
        <v>760199</v>
      </c>
      <c r="B183" s="152">
        <v>44095</v>
      </c>
      <c r="C183" s="153">
        <v>3319.6718689999998</v>
      </c>
      <c r="D183" s="151">
        <v>0.25</v>
      </c>
      <c r="E183" s="151" t="s">
        <v>305</v>
      </c>
      <c r="F183" s="152">
        <v>44090</v>
      </c>
      <c r="G183" s="155">
        <f t="shared" si="2"/>
        <v>5360.0048307512179</v>
      </c>
    </row>
    <row r="184" spans="1:7" x14ac:dyDescent="0.3">
      <c r="A184" s="151">
        <v>760199</v>
      </c>
      <c r="B184" s="152">
        <v>44096</v>
      </c>
      <c r="C184" s="153">
        <v>3320.0665979999999</v>
      </c>
      <c r="D184" s="151">
        <v>0.25</v>
      </c>
      <c r="E184" s="151" t="s">
        <v>305</v>
      </c>
      <c r="F184" s="152">
        <v>44090</v>
      </c>
      <c r="G184" s="155">
        <f t="shared" si="2"/>
        <v>5360.6421676418295</v>
      </c>
    </row>
    <row r="185" spans="1:7" x14ac:dyDescent="0.3">
      <c r="A185" s="151">
        <v>760199</v>
      </c>
      <c r="B185" s="152">
        <v>44097</v>
      </c>
      <c r="C185" s="153">
        <v>3320.461374</v>
      </c>
      <c r="D185" s="151">
        <v>0.25</v>
      </c>
      <c r="E185" s="151" t="s">
        <v>305</v>
      </c>
      <c r="F185" s="152">
        <v>44090</v>
      </c>
      <c r="G185" s="155">
        <f t="shared" si="2"/>
        <v>5361.2795804195284</v>
      </c>
    </row>
    <row r="186" spans="1:7" x14ac:dyDescent="0.3">
      <c r="A186" s="151">
        <v>760199</v>
      </c>
      <c r="B186" s="152">
        <v>44098</v>
      </c>
      <c r="C186" s="153">
        <v>3323.5041449999999</v>
      </c>
      <c r="D186" s="151">
        <v>0.49</v>
      </c>
      <c r="E186" s="151" t="s">
        <v>305</v>
      </c>
      <c r="F186" s="152">
        <v>44098</v>
      </c>
      <c r="G186" s="155">
        <f t="shared" si="2"/>
        <v>5366.1924958830023</v>
      </c>
    </row>
    <row r="187" spans="1:7" x14ac:dyDescent="0.3">
      <c r="A187" s="151">
        <v>760199</v>
      </c>
      <c r="B187" s="152">
        <v>44099</v>
      </c>
      <c r="C187" s="153">
        <v>3324.277826</v>
      </c>
      <c r="D187" s="151">
        <v>0.49</v>
      </c>
      <c r="E187" s="151" t="s">
        <v>305</v>
      </c>
      <c r="F187" s="152">
        <v>44098</v>
      </c>
      <c r="G187" s="155">
        <f t="shared" si="2"/>
        <v>5367.4416958223655</v>
      </c>
    </row>
    <row r="188" spans="1:7" x14ac:dyDescent="0.3">
      <c r="A188" s="151">
        <v>760199</v>
      </c>
      <c r="B188" s="152">
        <v>44102</v>
      </c>
      <c r="C188" s="153">
        <v>3325.0516859999998</v>
      </c>
      <c r="D188" s="151">
        <v>0.49</v>
      </c>
      <c r="E188" s="151" t="s">
        <v>305</v>
      </c>
      <c r="F188" s="152">
        <v>44098</v>
      </c>
      <c r="G188" s="155">
        <f t="shared" si="2"/>
        <v>5368.6911847785059</v>
      </c>
    </row>
    <row r="189" spans="1:7" x14ac:dyDescent="0.3">
      <c r="A189" s="151">
        <v>760199</v>
      </c>
      <c r="B189" s="152">
        <v>44103</v>
      </c>
      <c r="C189" s="153">
        <v>3325.8257269999999</v>
      </c>
      <c r="D189" s="151">
        <v>0.49</v>
      </c>
      <c r="E189" s="151" t="s">
        <v>305</v>
      </c>
      <c r="F189" s="152">
        <v>44098</v>
      </c>
      <c r="G189" s="155">
        <f t="shared" si="2"/>
        <v>5369.9409659806615</v>
      </c>
    </row>
    <row r="190" spans="1:7" x14ac:dyDescent="0.3">
      <c r="A190" s="151">
        <v>760199</v>
      </c>
      <c r="B190" s="152">
        <v>44104</v>
      </c>
      <c r="C190" s="153">
        <v>3326.599948</v>
      </c>
      <c r="D190" s="151">
        <v>0.49</v>
      </c>
      <c r="E190" s="151" t="s">
        <v>305</v>
      </c>
      <c r="F190" s="152">
        <v>44098</v>
      </c>
      <c r="G190" s="155">
        <f t="shared" si="2"/>
        <v>5371.1910378142129</v>
      </c>
    </row>
    <row r="191" spans="1:7" x14ac:dyDescent="0.3">
      <c r="A191" s="151">
        <v>760199</v>
      </c>
      <c r="B191" s="152">
        <v>44105</v>
      </c>
      <c r="C191" s="153">
        <v>3327.37435</v>
      </c>
      <c r="D191" s="151">
        <v>0.49</v>
      </c>
      <c r="E191" s="151" t="s">
        <v>305</v>
      </c>
      <c r="F191" s="152">
        <v>44098</v>
      </c>
      <c r="G191" s="155">
        <f t="shared" si="2"/>
        <v>5372.4414018937787</v>
      </c>
    </row>
    <row r="192" spans="1:7" x14ac:dyDescent="0.3">
      <c r="A192" s="151">
        <v>760199</v>
      </c>
      <c r="B192" s="152">
        <v>44106</v>
      </c>
      <c r="C192" s="153">
        <v>3328.1489310000002</v>
      </c>
      <c r="D192" s="151">
        <v>0.49</v>
      </c>
      <c r="E192" s="151" t="s">
        <v>305</v>
      </c>
      <c r="F192" s="152">
        <v>44098</v>
      </c>
      <c r="G192" s="155">
        <f t="shared" si="2"/>
        <v>5373.6920549901215</v>
      </c>
    </row>
    <row r="193" spans="1:7" x14ac:dyDescent="0.3">
      <c r="A193" s="151">
        <v>760199</v>
      </c>
      <c r="B193" s="152">
        <v>44109</v>
      </c>
      <c r="C193" s="153">
        <v>3328.9236930000002</v>
      </c>
      <c r="D193" s="151">
        <v>0.49</v>
      </c>
      <c r="E193" s="151" t="s">
        <v>305</v>
      </c>
      <c r="F193" s="152">
        <v>44098</v>
      </c>
      <c r="G193" s="155">
        <f t="shared" si="2"/>
        <v>5374.9430003324787</v>
      </c>
    </row>
    <row r="194" spans="1:7" x14ac:dyDescent="0.3">
      <c r="A194" s="151">
        <v>760199</v>
      </c>
      <c r="B194" s="152">
        <v>44110</v>
      </c>
      <c r="C194" s="153">
        <v>3329.6986350000002</v>
      </c>
      <c r="D194" s="151">
        <v>0.49</v>
      </c>
      <c r="E194" s="151" t="s">
        <v>305</v>
      </c>
      <c r="F194" s="152">
        <v>44098</v>
      </c>
      <c r="G194" s="155">
        <f t="shared" si="2"/>
        <v>5376.1942363062326</v>
      </c>
    </row>
    <row r="195" spans="1:7" x14ac:dyDescent="0.3">
      <c r="A195" s="151">
        <v>760199</v>
      </c>
      <c r="B195" s="152">
        <v>44111</v>
      </c>
      <c r="C195" s="153">
        <v>3330.4737580000001</v>
      </c>
      <c r="D195" s="151">
        <v>0.49</v>
      </c>
      <c r="E195" s="151" t="s">
        <v>305</v>
      </c>
      <c r="F195" s="152">
        <v>44098</v>
      </c>
      <c r="G195" s="155">
        <f t="shared" si="2"/>
        <v>5377.4457645260009</v>
      </c>
    </row>
    <row r="196" spans="1:7" x14ac:dyDescent="0.3">
      <c r="A196" s="151">
        <v>760199</v>
      </c>
      <c r="B196" s="152">
        <v>44112</v>
      </c>
      <c r="C196" s="153">
        <v>3331.249061</v>
      </c>
      <c r="D196" s="151">
        <v>0.49</v>
      </c>
      <c r="E196" s="151" t="s">
        <v>305</v>
      </c>
      <c r="F196" s="152">
        <v>44098</v>
      </c>
      <c r="G196" s="155">
        <f t="shared" si="2"/>
        <v>5378.6975833771658</v>
      </c>
    </row>
    <row r="197" spans="1:7" x14ac:dyDescent="0.3">
      <c r="A197" s="151">
        <v>760199</v>
      </c>
      <c r="B197" s="152">
        <v>44113</v>
      </c>
      <c r="C197" s="153">
        <v>3336.2884290000002</v>
      </c>
      <c r="D197" s="151">
        <v>0.64</v>
      </c>
      <c r="E197" s="151" t="s">
        <v>9</v>
      </c>
      <c r="F197" s="152">
        <v>44113</v>
      </c>
      <c r="G197" s="155">
        <f t="shared" ref="G197:G260" si="3">+C197/C196*G196</f>
        <v>5386.8342420259223</v>
      </c>
    </row>
    <row r="198" spans="1:7" x14ac:dyDescent="0.3">
      <c r="A198" s="151">
        <v>760199</v>
      </c>
      <c r="B198" s="152">
        <v>44117</v>
      </c>
      <c r="C198" s="153">
        <v>3337.3021829999998</v>
      </c>
      <c r="D198" s="151">
        <v>0.64</v>
      </c>
      <c r="E198" s="151" t="s">
        <v>9</v>
      </c>
      <c r="F198" s="152">
        <v>44113</v>
      </c>
      <c r="G198" s="155">
        <f t="shared" si="3"/>
        <v>5388.4710683604562</v>
      </c>
    </row>
    <row r="199" spans="1:7" x14ac:dyDescent="0.3">
      <c r="A199" s="151">
        <v>760199</v>
      </c>
      <c r="B199" s="152">
        <v>44118</v>
      </c>
      <c r="C199" s="153">
        <v>3338.316245</v>
      </c>
      <c r="D199" s="151">
        <v>0.64</v>
      </c>
      <c r="E199" s="151" t="s">
        <v>9</v>
      </c>
      <c r="F199" s="152">
        <v>44113</v>
      </c>
      <c r="G199" s="155">
        <f t="shared" si="3"/>
        <v>5390.1083919976018</v>
      </c>
    </row>
    <row r="200" spans="1:7" x14ac:dyDescent="0.3">
      <c r="A200" s="151">
        <v>760199</v>
      </c>
      <c r="B200" s="152">
        <v>44119</v>
      </c>
      <c r="C200" s="153">
        <v>3339.3306160000002</v>
      </c>
      <c r="D200" s="151">
        <v>0.64</v>
      </c>
      <c r="E200" s="151" t="s">
        <v>9</v>
      </c>
      <c r="F200" s="152">
        <v>44113</v>
      </c>
      <c r="G200" s="155">
        <f t="shared" si="3"/>
        <v>5391.7462145519776</v>
      </c>
    </row>
    <row r="201" spans="1:7" x14ac:dyDescent="0.3">
      <c r="A201" s="151">
        <v>760199</v>
      </c>
      <c r="B201" s="152">
        <v>44120</v>
      </c>
      <c r="C201" s="153">
        <v>3340.3452280000001</v>
      </c>
      <c r="D201" s="151">
        <v>0.64</v>
      </c>
      <c r="E201" s="151" t="s">
        <v>305</v>
      </c>
      <c r="F201" s="152">
        <v>44120</v>
      </c>
      <c r="G201" s="155">
        <f t="shared" si="3"/>
        <v>5393.3844262294997</v>
      </c>
    </row>
    <row r="202" spans="1:7" x14ac:dyDescent="0.3">
      <c r="A202" s="151">
        <v>760199</v>
      </c>
      <c r="B202" s="152">
        <v>44123</v>
      </c>
      <c r="C202" s="153">
        <v>3341.3601480000002</v>
      </c>
      <c r="D202" s="151">
        <v>0.64</v>
      </c>
      <c r="E202" s="151" t="s">
        <v>305</v>
      </c>
      <c r="F202" s="152">
        <v>44120</v>
      </c>
      <c r="G202" s="155">
        <f t="shared" si="3"/>
        <v>5395.0231352096325</v>
      </c>
    </row>
    <row r="203" spans="1:7" x14ac:dyDescent="0.3">
      <c r="A203" s="151">
        <v>760199</v>
      </c>
      <c r="B203" s="152">
        <v>44124</v>
      </c>
      <c r="C203" s="153">
        <v>3342.3753769999998</v>
      </c>
      <c r="D203" s="151">
        <v>0.64</v>
      </c>
      <c r="E203" s="151" t="s">
        <v>305</v>
      </c>
      <c r="F203" s="152">
        <v>44120</v>
      </c>
      <c r="G203" s="155">
        <f t="shared" si="3"/>
        <v>5396.6623431069947</v>
      </c>
    </row>
    <row r="204" spans="1:7" x14ac:dyDescent="0.3">
      <c r="A204" s="151">
        <v>760199</v>
      </c>
      <c r="B204" s="152">
        <v>44125</v>
      </c>
      <c r="C204" s="153">
        <v>3343.3909140000001</v>
      </c>
      <c r="D204" s="151">
        <v>0.64</v>
      </c>
      <c r="E204" s="151" t="s">
        <v>305</v>
      </c>
      <c r="F204" s="152">
        <v>44120</v>
      </c>
      <c r="G204" s="155">
        <f t="shared" si="3"/>
        <v>5398.3020483069686</v>
      </c>
    </row>
    <row r="205" spans="1:7" x14ac:dyDescent="0.3">
      <c r="A205" s="151">
        <v>760199</v>
      </c>
      <c r="B205" s="152">
        <v>44126</v>
      </c>
      <c r="C205" s="153">
        <v>3344.406759</v>
      </c>
      <c r="D205" s="151">
        <v>0.64</v>
      </c>
      <c r="E205" s="151" t="s">
        <v>305</v>
      </c>
      <c r="F205" s="152">
        <v>44120</v>
      </c>
      <c r="G205" s="155">
        <f t="shared" si="3"/>
        <v>5399.9422508095531</v>
      </c>
    </row>
    <row r="206" spans="1:7" x14ac:dyDescent="0.3">
      <c r="A206" s="151">
        <v>760199</v>
      </c>
      <c r="B206" s="152">
        <v>44127</v>
      </c>
      <c r="C206" s="153">
        <v>3345.4229140000002</v>
      </c>
      <c r="D206" s="151">
        <v>0.64</v>
      </c>
      <c r="E206" s="151" t="s">
        <v>305</v>
      </c>
      <c r="F206" s="152">
        <v>44120</v>
      </c>
      <c r="G206" s="155">
        <f t="shared" si="3"/>
        <v>5401.5829538439866</v>
      </c>
    </row>
    <row r="207" spans="1:7" x14ac:dyDescent="0.3">
      <c r="A207" s="151">
        <v>760199</v>
      </c>
      <c r="B207" s="152">
        <v>44130</v>
      </c>
      <c r="C207" s="153">
        <v>3348.3225729999999</v>
      </c>
      <c r="D207" s="151">
        <v>0.81</v>
      </c>
      <c r="E207" s="151" t="s">
        <v>305</v>
      </c>
      <c r="F207" s="152">
        <v>44130</v>
      </c>
      <c r="G207" s="155">
        <f t="shared" si="3"/>
        <v>5406.2647979722169</v>
      </c>
    </row>
    <row r="208" spans="1:7" x14ac:dyDescent="0.3">
      <c r="A208" s="151">
        <v>760199</v>
      </c>
      <c r="B208" s="152">
        <v>44131</v>
      </c>
      <c r="C208" s="153">
        <v>3349.6091139999999</v>
      </c>
      <c r="D208" s="151">
        <v>0.81</v>
      </c>
      <c r="E208" s="151" t="s">
        <v>305</v>
      </c>
      <c r="F208" s="152">
        <v>44130</v>
      </c>
      <c r="G208" s="155">
        <f t="shared" si="3"/>
        <v>5408.3420713435262</v>
      </c>
    </row>
    <row r="209" spans="1:7" x14ac:dyDescent="0.3">
      <c r="A209" s="151">
        <v>760199</v>
      </c>
      <c r="B209" s="152">
        <v>44132</v>
      </c>
      <c r="C209" s="153">
        <v>3350.8961490000002</v>
      </c>
      <c r="D209" s="151">
        <v>0.81</v>
      </c>
      <c r="E209" s="151" t="s">
        <v>305</v>
      </c>
      <c r="F209" s="152">
        <v>44130</v>
      </c>
      <c r="G209" s="155">
        <f t="shared" si="3"/>
        <v>5410.4201423365566</v>
      </c>
    </row>
    <row r="210" spans="1:7" x14ac:dyDescent="0.3">
      <c r="A210" s="151">
        <v>760199</v>
      </c>
      <c r="B210" s="152">
        <v>44133</v>
      </c>
      <c r="C210" s="153">
        <v>3352.1836779999999</v>
      </c>
      <c r="D210" s="151">
        <v>0.81</v>
      </c>
      <c r="E210" s="151" t="s">
        <v>305</v>
      </c>
      <c r="F210" s="152">
        <v>44130</v>
      </c>
      <c r="G210" s="155">
        <f t="shared" si="3"/>
        <v>5412.4990109513064</v>
      </c>
    </row>
    <row r="211" spans="1:7" x14ac:dyDescent="0.3">
      <c r="A211" s="151">
        <v>760199</v>
      </c>
      <c r="B211" s="152">
        <v>44134</v>
      </c>
      <c r="C211" s="153">
        <v>3353.4717019999998</v>
      </c>
      <c r="D211" s="151">
        <v>0.81</v>
      </c>
      <c r="E211" s="151" t="s">
        <v>305</v>
      </c>
      <c r="F211" s="152">
        <v>44130</v>
      </c>
      <c r="G211" s="155">
        <f t="shared" si="3"/>
        <v>5414.5786788023952</v>
      </c>
    </row>
    <row r="212" spans="1:7" x14ac:dyDescent="0.3">
      <c r="A212" s="151">
        <v>760199</v>
      </c>
      <c r="B212" s="152">
        <v>44138</v>
      </c>
      <c r="C212" s="153">
        <v>3354.760221</v>
      </c>
      <c r="D212" s="151">
        <v>0.81</v>
      </c>
      <c r="E212" s="151" t="s">
        <v>305</v>
      </c>
      <c r="F212" s="152">
        <v>44130</v>
      </c>
      <c r="G212" s="155">
        <f t="shared" si="3"/>
        <v>5416.6591458898238</v>
      </c>
    </row>
    <row r="213" spans="1:7" x14ac:dyDescent="0.3">
      <c r="A213" s="151">
        <v>760199</v>
      </c>
      <c r="B213" s="152">
        <v>44139</v>
      </c>
      <c r="C213" s="153">
        <v>3356.049235</v>
      </c>
      <c r="D213" s="151">
        <v>0.81</v>
      </c>
      <c r="E213" s="151" t="s">
        <v>305</v>
      </c>
      <c r="F213" s="152">
        <v>44130</v>
      </c>
      <c r="G213" s="155">
        <f t="shared" si="3"/>
        <v>5418.7404122135904</v>
      </c>
    </row>
    <row r="214" spans="1:7" x14ac:dyDescent="0.3">
      <c r="A214" s="151">
        <v>760199</v>
      </c>
      <c r="B214" s="152">
        <v>44140</v>
      </c>
      <c r="C214" s="153">
        <v>3357.3387440000001</v>
      </c>
      <c r="D214" s="151">
        <v>0.81</v>
      </c>
      <c r="E214" s="151" t="s">
        <v>305</v>
      </c>
      <c r="F214" s="152">
        <v>44130</v>
      </c>
      <c r="G214" s="155">
        <f t="shared" si="3"/>
        <v>5420.8224777736959</v>
      </c>
    </row>
    <row r="215" spans="1:7" x14ac:dyDescent="0.3">
      <c r="A215" s="151">
        <v>760199</v>
      </c>
      <c r="B215" s="152">
        <v>44141</v>
      </c>
      <c r="C215" s="153">
        <v>3359.8189560000001</v>
      </c>
      <c r="D215" s="151">
        <v>0.86</v>
      </c>
      <c r="E215" s="151" t="s">
        <v>9</v>
      </c>
      <c r="F215" s="152">
        <v>44141</v>
      </c>
      <c r="G215" s="155">
        <f t="shared" si="3"/>
        <v>5424.8270748621699</v>
      </c>
    </row>
    <row r="216" spans="1:7" x14ac:dyDescent="0.3">
      <c r="A216" s="151">
        <v>760199</v>
      </c>
      <c r="B216" s="152">
        <v>44144</v>
      </c>
      <c r="C216" s="153">
        <v>3361.1893070000001</v>
      </c>
      <c r="D216" s="151">
        <v>0.86</v>
      </c>
      <c r="E216" s="151" t="s">
        <v>9</v>
      </c>
      <c r="F216" s="152">
        <v>44141</v>
      </c>
      <c r="G216" s="155">
        <f t="shared" si="3"/>
        <v>5427.0396694406927</v>
      </c>
    </row>
    <row r="217" spans="1:7" x14ac:dyDescent="0.3">
      <c r="A217" s="151">
        <v>760199</v>
      </c>
      <c r="B217" s="152">
        <v>44145</v>
      </c>
      <c r="C217" s="153">
        <v>3362.5602159999999</v>
      </c>
      <c r="D217" s="151">
        <v>0.86</v>
      </c>
      <c r="E217" s="151" t="s">
        <v>9</v>
      </c>
      <c r="F217" s="152">
        <v>44141</v>
      </c>
      <c r="G217" s="155">
        <f t="shared" si="3"/>
        <v>5429.2531649765424</v>
      </c>
    </row>
    <row r="218" spans="1:7" x14ac:dyDescent="0.3">
      <c r="A218" s="151">
        <v>760199</v>
      </c>
      <c r="B218" s="152">
        <v>44146</v>
      </c>
      <c r="C218" s="153">
        <v>3363.931685</v>
      </c>
      <c r="D218" s="151">
        <v>0.86</v>
      </c>
      <c r="E218" s="151" t="s">
        <v>9</v>
      </c>
      <c r="F218" s="152">
        <v>44141</v>
      </c>
      <c r="G218" s="155">
        <f t="shared" si="3"/>
        <v>5431.467564698959</v>
      </c>
    </row>
    <row r="219" spans="1:7" x14ac:dyDescent="0.3">
      <c r="A219" s="151">
        <v>760199</v>
      </c>
      <c r="B219" s="152">
        <v>44147</v>
      </c>
      <c r="C219" s="153">
        <v>3365.3037119999999</v>
      </c>
      <c r="D219" s="151">
        <v>0.86</v>
      </c>
      <c r="E219" s="151" t="s">
        <v>9</v>
      </c>
      <c r="F219" s="152">
        <v>44141</v>
      </c>
      <c r="G219" s="155">
        <f t="shared" si="3"/>
        <v>5433.6828653787024</v>
      </c>
    </row>
    <row r="220" spans="1:7" x14ac:dyDescent="0.3">
      <c r="A220" s="151">
        <v>760199</v>
      </c>
      <c r="B220" s="152">
        <v>44148</v>
      </c>
      <c r="C220" s="153">
        <v>3366.6763000000001</v>
      </c>
      <c r="D220" s="151">
        <v>0.86</v>
      </c>
      <c r="E220" s="151" t="s">
        <v>9</v>
      </c>
      <c r="F220" s="152">
        <v>44141</v>
      </c>
      <c r="G220" s="155">
        <f t="shared" si="3"/>
        <v>5435.8990718596306</v>
      </c>
    </row>
    <row r="221" spans="1:7" x14ac:dyDescent="0.3">
      <c r="A221" s="151">
        <v>760199</v>
      </c>
      <c r="B221" s="152">
        <v>44151</v>
      </c>
      <c r="C221" s="153">
        <v>3368.0494480000002</v>
      </c>
      <c r="D221" s="151">
        <v>0.86</v>
      </c>
      <c r="E221" s="151" t="s">
        <v>9</v>
      </c>
      <c r="F221" s="152">
        <v>44141</v>
      </c>
      <c r="G221" s="155">
        <f t="shared" si="3"/>
        <v>5438.1161825271247</v>
      </c>
    </row>
    <row r="222" spans="1:7" x14ac:dyDescent="0.3">
      <c r="A222" s="151">
        <v>760199</v>
      </c>
      <c r="B222" s="152">
        <v>44152</v>
      </c>
      <c r="C222" s="153">
        <v>3368.801567</v>
      </c>
      <c r="D222" s="151">
        <v>0.47</v>
      </c>
      <c r="E222" s="151" t="s">
        <v>305</v>
      </c>
      <c r="F222" s="152">
        <v>44152</v>
      </c>
      <c r="G222" s="155">
        <f t="shared" si="3"/>
        <v>5439.3305680544854</v>
      </c>
    </row>
    <row r="223" spans="1:7" x14ac:dyDescent="0.3">
      <c r="A223" s="151">
        <v>760199</v>
      </c>
      <c r="B223" s="152">
        <v>44153</v>
      </c>
      <c r="C223" s="153">
        <v>3369.5538550000001</v>
      </c>
      <c r="D223" s="151">
        <v>0.47</v>
      </c>
      <c r="E223" s="151" t="s">
        <v>305</v>
      </c>
      <c r="F223" s="152">
        <v>44152</v>
      </c>
      <c r="G223" s="155">
        <f t="shared" si="3"/>
        <v>5440.5452264524356</v>
      </c>
    </row>
    <row r="224" spans="1:7" x14ac:dyDescent="0.3">
      <c r="A224" s="151">
        <v>760199</v>
      </c>
      <c r="B224" s="152">
        <v>44154</v>
      </c>
      <c r="C224" s="153">
        <v>3370.3063099999999</v>
      </c>
      <c r="D224" s="151">
        <v>0.47</v>
      </c>
      <c r="E224" s="151" t="s">
        <v>305</v>
      </c>
      <c r="F224" s="152">
        <v>44152</v>
      </c>
      <c r="G224" s="155">
        <f t="shared" si="3"/>
        <v>5441.7601544917352</v>
      </c>
    </row>
    <row r="225" spans="1:7" x14ac:dyDescent="0.3">
      <c r="A225" s="151">
        <v>760199</v>
      </c>
      <c r="B225" s="152">
        <v>44155</v>
      </c>
      <c r="C225" s="153">
        <v>3371.0589340000001</v>
      </c>
      <c r="D225" s="151">
        <v>0.47</v>
      </c>
      <c r="E225" s="151" t="s">
        <v>305</v>
      </c>
      <c r="F225" s="152">
        <v>44152</v>
      </c>
      <c r="G225" s="155">
        <f t="shared" si="3"/>
        <v>5442.9753554016233</v>
      </c>
    </row>
    <row r="226" spans="1:7" x14ac:dyDescent="0.3">
      <c r="A226" s="151">
        <v>760199</v>
      </c>
      <c r="B226" s="152">
        <v>44158</v>
      </c>
      <c r="C226" s="153">
        <v>3371.811725</v>
      </c>
      <c r="D226" s="151">
        <v>0.47</v>
      </c>
      <c r="E226" s="151" t="s">
        <v>305</v>
      </c>
      <c r="F226" s="152">
        <v>44152</v>
      </c>
      <c r="G226" s="155">
        <f t="shared" si="3"/>
        <v>5444.1908259528618</v>
      </c>
    </row>
    <row r="227" spans="1:7" x14ac:dyDescent="0.3">
      <c r="A227" s="151">
        <v>760199</v>
      </c>
      <c r="B227" s="152">
        <v>44159</v>
      </c>
      <c r="C227" s="153">
        <v>3372.5646849999998</v>
      </c>
      <c r="D227" s="151">
        <v>0.47</v>
      </c>
      <c r="E227" s="151" t="s">
        <v>305</v>
      </c>
      <c r="F227" s="152">
        <v>44152</v>
      </c>
      <c r="G227" s="155">
        <f t="shared" si="3"/>
        <v>5445.4065693746888</v>
      </c>
    </row>
    <row r="228" spans="1:7" x14ac:dyDescent="0.3">
      <c r="A228" s="151">
        <v>760199</v>
      </c>
      <c r="B228" s="152">
        <v>44160</v>
      </c>
      <c r="C228" s="153">
        <v>3376.6720140000002</v>
      </c>
      <c r="D228" s="151">
        <v>0.77</v>
      </c>
      <c r="E228" s="151" t="s">
        <v>305</v>
      </c>
      <c r="F228" s="152">
        <v>44160</v>
      </c>
      <c r="G228" s="155">
        <f t="shared" si="3"/>
        <v>5452.0383402695988</v>
      </c>
    </row>
    <row r="229" spans="1:7" x14ac:dyDescent="0.3">
      <c r="A229" s="151">
        <v>760199</v>
      </c>
      <c r="B229" s="152">
        <v>44161</v>
      </c>
      <c r="C229" s="153">
        <v>3377.9056099999998</v>
      </c>
      <c r="D229" s="151">
        <v>0.77</v>
      </c>
      <c r="E229" s="151" t="s">
        <v>305</v>
      </c>
      <c r="F229" s="152">
        <v>44160</v>
      </c>
      <c r="G229" s="155">
        <f t="shared" si="3"/>
        <v>5454.0301276450136</v>
      </c>
    </row>
    <row r="230" spans="1:7" x14ac:dyDescent="0.3">
      <c r="A230" s="151">
        <v>760199</v>
      </c>
      <c r="B230" s="152">
        <v>44162</v>
      </c>
      <c r="C230" s="153">
        <v>3379.1396570000002</v>
      </c>
      <c r="D230" s="151">
        <v>0.77</v>
      </c>
      <c r="E230" s="151" t="s">
        <v>305</v>
      </c>
      <c r="F230" s="152">
        <v>44160</v>
      </c>
      <c r="G230" s="155">
        <f t="shared" si="3"/>
        <v>5456.0226432135387</v>
      </c>
    </row>
    <row r="231" spans="1:7" x14ac:dyDescent="0.3">
      <c r="A231" s="151">
        <v>760199</v>
      </c>
      <c r="B231" s="152">
        <v>44165</v>
      </c>
      <c r="C231" s="153">
        <v>3380.3741540000001</v>
      </c>
      <c r="D231" s="151">
        <v>0.77</v>
      </c>
      <c r="E231" s="151" t="s">
        <v>305</v>
      </c>
      <c r="F231" s="152">
        <v>44160</v>
      </c>
      <c r="G231" s="155">
        <f t="shared" si="3"/>
        <v>5458.0158853605526</v>
      </c>
    </row>
    <row r="232" spans="1:7" x14ac:dyDescent="0.3">
      <c r="A232" s="151">
        <v>760199</v>
      </c>
      <c r="B232" s="152">
        <v>44166</v>
      </c>
      <c r="C232" s="153">
        <v>3381.6091029999998</v>
      </c>
      <c r="D232" s="151">
        <v>0.77</v>
      </c>
      <c r="E232" s="151" t="s">
        <v>305</v>
      </c>
      <c r="F232" s="152">
        <v>44160</v>
      </c>
      <c r="G232" s="155">
        <f t="shared" si="3"/>
        <v>5460.0098573152945</v>
      </c>
    </row>
    <row r="233" spans="1:7" x14ac:dyDescent="0.3">
      <c r="A233" s="151">
        <v>760199</v>
      </c>
      <c r="B233" s="152">
        <v>44167</v>
      </c>
      <c r="C233" s="153">
        <v>3382.8445019999999</v>
      </c>
      <c r="D233" s="151">
        <v>0.77</v>
      </c>
      <c r="E233" s="151" t="s">
        <v>305</v>
      </c>
      <c r="F233" s="152">
        <v>44160</v>
      </c>
      <c r="G233" s="155">
        <f t="shared" si="3"/>
        <v>5462.0045558485272</v>
      </c>
    </row>
    <row r="234" spans="1:7" x14ac:dyDescent="0.3">
      <c r="A234" s="151">
        <v>760199</v>
      </c>
      <c r="B234" s="152">
        <v>44168</v>
      </c>
      <c r="C234" s="153">
        <v>3384.0803529999998</v>
      </c>
      <c r="D234" s="151">
        <v>0.77</v>
      </c>
      <c r="E234" s="151" t="s">
        <v>305</v>
      </c>
      <c r="F234" s="152">
        <v>44160</v>
      </c>
      <c r="G234" s="155">
        <f t="shared" si="3"/>
        <v>5463.9999841894869</v>
      </c>
    </row>
    <row r="235" spans="1:7" x14ac:dyDescent="0.3">
      <c r="A235" s="151">
        <v>760199</v>
      </c>
      <c r="B235" s="152">
        <v>44169</v>
      </c>
      <c r="C235" s="153">
        <v>3385.316656</v>
      </c>
      <c r="D235" s="151">
        <v>0.77</v>
      </c>
      <c r="E235" s="151" t="s">
        <v>305</v>
      </c>
      <c r="F235" s="152">
        <v>44160</v>
      </c>
      <c r="G235" s="155">
        <f t="shared" si="3"/>
        <v>5465.9961423381746</v>
      </c>
    </row>
    <row r="236" spans="1:7" x14ac:dyDescent="0.3">
      <c r="A236" s="151">
        <v>760199</v>
      </c>
      <c r="B236" s="152">
        <v>44172</v>
      </c>
      <c r="C236" s="153">
        <v>3386.55341</v>
      </c>
      <c r="D236" s="151">
        <v>0.77</v>
      </c>
      <c r="E236" s="151" t="s">
        <v>305</v>
      </c>
      <c r="F236" s="152">
        <v>44160</v>
      </c>
      <c r="G236" s="155">
        <f t="shared" si="3"/>
        <v>5467.9930286799708</v>
      </c>
    </row>
    <row r="237" spans="1:7" x14ac:dyDescent="0.3">
      <c r="A237" s="151">
        <v>760199</v>
      </c>
      <c r="B237" s="152">
        <v>44173</v>
      </c>
      <c r="C237" s="153">
        <v>3390.864266</v>
      </c>
      <c r="D237" s="151">
        <v>0.89</v>
      </c>
      <c r="E237" s="151" t="s">
        <v>9</v>
      </c>
      <c r="F237" s="152">
        <v>44173</v>
      </c>
      <c r="G237" s="155">
        <f t="shared" si="3"/>
        <v>5474.9534181089521</v>
      </c>
    </row>
    <row r="238" spans="1:7" x14ac:dyDescent="0.3">
      <c r="A238" s="151">
        <v>760199</v>
      </c>
      <c r="B238" s="152">
        <v>44174</v>
      </c>
      <c r="C238" s="153">
        <v>3392.2953120000002</v>
      </c>
      <c r="D238" s="151">
        <v>0.89</v>
      </c>
      <c r="E238" s="151" t="s">
        <v>9</v>
      </c>
      <c r="F238" s="152">
        <v>44173</v>
      </c>
      <c r="G238" s="155">
        <f t="shared" si="3"/>
        <v>5477.264011979586</v>
      </c>
    </row>
    <row r="239" spans="1:7" x14ac:dyDescent="0.3">
      <c r="A239" s="151">
        <v>760199</v>
      </c>
      <c r="B239" s="152">
        <v>44175</v>
      </c>
      <c r="C239" s="153">
        <v>3393.7269630000001</v>
      </c>
      <c r="D239" s="151">
        <v>0.89</v>
      </c>
      <c r="E239" s="151" t="s">
        <v>9</v>
      </c>
      <c r="F239" s="152">
        <v>44173</v>
      </c>
      <c r="G239" s="155">
        <f t="shared" si="3"/>
        <v>5479.5755826946342</v>
      </c>
    </row>
    <row r="240" spans="1:7" x14ac:dyDescent="0.3">
      <c r="A240" s="151">
        <v>760199</v>
      </c>
      <c r="B240" s="152">
        <v>44176</v>
      </c>
      <c r="C240" s="153">
        <v>3395.1592179999998</v>
      </c>
      <c r="D240" s="151">
        <v>0.89</v>
      </c>
      <c r="E240" s="151" t="s">
        <v>9</v>
      </c>
      <c r="F240" s="152">
        <v>44173</v>
      </c>
      <c r="G240" s="155">
        <f t="shared" si="3"/>
        <v>5481.8881286394771</v>
      </c>
    </row>
    <row r="241" spans="1:7" x14ac:dyDescent="0.3">
      <c r="A241" s="151">
        <v>760199</v>
      </c>
      <c r="B241" s="152">
        <v>44179</v>
      </c>
      <c r="C241" s="153">
        <v>3396.5920769999998</v>
      </c>
      <c r="D241" s="151">
        <v>0.89</v>
      </c>
      <c r="E241" s="151" t="s">
        <v>9</v>
      </c>
      <c r="F241" s="152">
        <v>44173</v>
      </c>
      <c r="G241" s="155">
        <f t="shared" si="3"/>
        <v>5484.2016498141156</v>
      </c>
    </row>
    <row r="242" spans="1:7" x14ac:dyDescent="0.3">
      <c r="A242" s="151">
        <v>760199</v>
      </c>
      <c r="B242" s="152">
        <v>44180</v>
      </c>
      <c r="C242" s="153">
        <v>3398.025541</v>
      </c>
      <c r="D242" s="151">
        <v>0.89</v>
      </c>
      <c r="E242" s="151" t="s">
        <v>9</v>
      </c>
      <c r="F242" s="152">
        <v>44173</v>
      </c>
      <c r="G242" s="155">
        <f t="shared" si="3"/>
        <v>5486.5161478331693</v>
      </c>
    </row>
    <row r="243" spans="1:7" x14ac:dyDescent="0.3">
      <c r="A243" s="151">
        <v>760199</v>
      </c>
      <c r="B243" s="152">
        <v>44181</v>
      </c>
      <c r="C243" s="153">
        <v>3400.0522219999998</v>
      </c>
      <c r="D243" s="151">
        <v>1.26</v>
      </c>
      <c r="E243" s="151" t="s">
        <v>305</v>
      </c>
      <c r="F243" s="152">
        <v>44181</v>
      </c>
      <c r="G243" s="155">
        <f t="shared" si="3"/>
        <v>5489.7884652124358</v>
      </c>
    </row>
    <row r="244" spans="1:7" x14ac:dyDescent="0.3">
      <c r="A244" s="151">
        <v>760199</v>
      </c>
      <c r="B244" s="152">
        <v>44182</v>
      </c>
      <c r="C244" s="153">
        <v>3402.080113</v>
      </c>
      <c r="D244" s="151">
        <v>1.26</v>
      </c>
      <c r="E244" s="151" t="s">
        <v>305</v>
      </c>
      <c r="F244" s="152">
        <v>44181</v>
      </c>
      <c r="G244" s="155">
        <f t="shared" si="3"/>
        <v>5493.0627362805317</v>
      </c>
    </row>
    <row r="245" spans="1:7" x14ac:dyDescent="0.3">
      <c r="A245" s="151">
        <v>760199</v>
      </c>
      <c r="B245" s="152">
        <v>44183</v>
      </c>
      <c r="C245" s="153">
        <v>3404.1092130000002</v>
      </c>
      <c r="D245" s="151">
        <v>1.26</v>
      </c>
      <c r="E245" s="151" t="s">
        <v>305</v>
      </c>
      <c r="F245" s="152">
        <v>44181</v>
      </c>
      <c r="G245" s="155">
        <f t="shared" si="3"/>
        <v>5496.3389594228374</v>
      </c>
    </row>
    <row r="246" spans="1:7" x14ac:dyDescent="0.3">
      <c r="A246" s="151">
        <v>760199</v>
      </c>
      <c r="B246" s="152">
        <v>44186</v>
      </c>
      <c r="C246" s="153">
        <v>3406.1395229999998</v>
      </c>
      <c r="D246" s="151">
        <v>1.26</v>
      </c>
      <c r="E246" s="151" t="s">
        <v>305</v>
      </c>
      <c r="F246" s="152">
        <v>44181</v>
      </c>
      <c r="G246" s="155">
        <f t="shared" si="3"/>
        <v>5499.6171362539708</v>
      </c>
    </row>
    <row r="247" spans="1:7" x14ac:dyDescent="0.3">
      <c r="A247" s="151">
        <v>760199</v>
      </c>
      <c r="B247" s="152">
        <v>44187</v>
      </c>
      <c r="C247" s="153">
        <v>3408.171045</v>
      </c>
      <c r="D247" s="151">
        <v>1.26</v>
      </c>
      <c r="E247" s="151" t="s">
        <v>305</v>
      </c>
      <c r="F247" s="152">
        <v>44181</v>
      </c>
      <c r="G247" s="155">
        <f t="shared" si="3"/>
        <v>5502.8972700031709</v>
      </c>
    </row>
    <row r="248" spans="1:7" x14ac:dyDescent="0.3">
      <c r="A248" s="151">
        <v>760199</v>
      </c>
      <c r="B248" s="152">
        <v>44188</v>
      </c>
      <c r="C248" s="153">
        <v>3409.7225830000002</v>
      </c>
      <c r="D248" s="151">
        <v>1.21</v>
      </c>
      <c r="E248" s="151" t="s">
        <v>305</v>
      </c>
      <c r="F248" s="152">
        <v>44188</v>
      </c>
      <c r="G248" s="155">
        <f t="shared" si="3"/>
        <v>5505.4024125302849</v>
      </c>
    </row>
    <row r="249" spans="1:7" x14ac:dyDescent="0.3">
      <c r="A249" s="151">
        <v>760199</v>
      </c>
      <c r="B249" s="152">
        <v>44189</v>
      </c>
      <c r="C249" s="153">
        <v>3411.6759999999999</v>
      </c>
      <c r="D249" s="151">
        <v>1.21</v>
      </c>
      <c r="E249" s="151" t="s">
        <v>305</v>
      </c>
      <c r="F249" s="152">
        <v>44188</v>
      </c>
      <c r="G249" s="155">
        <f t="shared" si="3"/>
        <v>5508.5564364729053</v>
      </c>
    </row>
    <row r="250" spans="1:7" x14ac:dyDescent="0.3">
      <c r="A250" s="151">
        <v>760199</v>
      </c>
      <c r="B250" s="152">
        <v>44193</v>
      </c>
      <c r="C250" s="153">
        <v>3413.630537</v>
      </c>
      <c r="D250" s="151">
        <v>1.21</v>
      </c>
      <c r="E250" s="151" t="s">
        <v>305</v>
      </c>
      <c r="F250" s="152">
        <v>44188</v>
      </c>
      <c r="G250" s="155">
        <f t="shared" si="3"/>
        <v>5511.7122687886567</v>
      </c>
    </row>
    <row r="251" spans="1:7" x14ac:dyDescent="0.3">
      <c r="A251" s="151">
        <v>760199</v>
      </c>
      <c r="B251" s="152">
        <v>44194</v>
      </c>
      <c r="C251" s="153">
        <v>3415.586194</v>
      </c>
      <c r="D251" s="151">
        <v>1.21</v>
      </c>
      <c r="E251" s="151" t="s">
        <v>305</v>
      </c>
      <c r="F251" s="152">
        <v>44188</v>
      </c>
      <c r="G251" s="155">
        <f t="shared" si="3"/>
        <v>5514.8699094775384</v>
      </c>
    </row>
    <row r="252" spans="1:7" x14ac:dyDescent="0.3">
      <c r="A252" s="151">
        <v>760199</v>
      </c>
      <c r="B252" s="152">
        <v>44195</v>
      </c>
      <c r="C252" s="153">
        <v>3417.5429709999999</v>
      </c>
      <c r="D252" s="151">
        <v>1.21</v>
      </c>
      <c r="E252" s="151" t="s">
        <v>305</v>
      </c>
      <c r="F252" s="152">
        <v>44188</v>
      </c>
      <c r="G252" s="155">
        <f t="shared" si="3"/>
        <v>5518.0293585395511</v>
      </c>
    </row>
    <row r="253" spans="1:7" x14ac:dyDescent="0.3">
      <c r="A253" s="151">
        <v>760199</v>
      </c>
      <c r="B253" s="152">
        <v>44196</v>
      </c>
      <c r="C253" s="153">
        <v>3419.5008699999998</v>
      </c>
      <c r="D253" s="151">
        <v>1.21</v>
      </c>
      <c r="E253" s="151" t="s">
        <v>305</v>
      </c>
      <c r="F253" s="152">
        <v>44188</v>
      </c>
      <c r="G253" s="155">
        <f t="shared" si="3"/>
        <v>5521.1906192039323</v>
      </c>
    </row>
    <row r="254" spans="1:7" x14ac:dyDescent="0.3">
      <c r="A254" s="151">
        <v>760199</v>
      </c>
      <c r="B254" s="152">
        <v>44200</v>
      </c>
      <c r="C254" s="153">
        <v>3421.4598890000002</v>
      </c>
      <c r="D254" s="151">
        <v>1.21</v>
      </c>
      <c r="E254" s="151" t="s">
        <v>305</v>
      </c>
      <c r="F254" s="152">
        <v>44188</v>
      </c>
      <c r="G254" s="155">
        <f t="shared" si="3"/>
        <v>5524.3536882414455</v>
      </c>
    </row>
    <row r="255" spans="1:7" x14ac:dyDescent="0.3">
      <c r="A255" s="151">
        <v>760199</v>
      </c>
      <c r="B255" s="152">
        <v>44201</v>
      </c>
      <c r="C255" s="153">
        <v>3423.420032</v>
      </c>
      <c r="D255" s="151">
        <v>1.21</v>
      </c>
      <c r="E255" s="151" t="s">
        <v>305</v>
      </c>
      <c r="F255" s="152">
        <v>44188</v>
      </c>
      <c r="G255" s="155">
        <f t="shared" si="3"/>
        <v>5527.5185721105627</v>
      </c>
    </row>
    <row r="256" spans="1:7" x14ac:dyDescent="0.3">
      <c r="A256" s="151">
        <v>760199</v>
      </c>
      <c r="B256" s="152">
        <v>44202</v>
      </c>
      <c r="C256" s="153">
        <v>3425.3812969999999</v>
      </c>
      <c r="D256" s="151">
        <v>1.21</v>
      </c>
      <c r="E256" s="151" t="s">
        <v>305</v>
      </c>
      <c r="F256" s="152">
        <v>44188</v>
      </c>
      <c r="G256" s="155">
        <f t="shared" si="3"/>
        <v>5530.6852675820483</v>
      </c>
    </row>
    <row r="257" spans="1:7" x14ac:dyDescent="0.3">
      <c r="A257" s="151">
        <v>760199</v>
      </c>
      <c r="B257" s="152">
        <v>44203</v>
      </c>
      <c r="C257" s="153">
        <v>3427.3436849999998</v>
      </c>
      <c r="D257" s="151">
        <v>1.21</v>
      </c>
      <c r="E257" s="151" t="s">
        <v>305</v>
      </c>
      <c r="F257" s="152">
        <v>44188</v>
      </c>
      <c r="G257" s="155">
        <f t="shared" si="3"/>
        <v>5533.8537762705228</v>
      </c>
    </row>
    <row r="258" spans="1:7" x14ac:dyDescent="0.3">
      <c r="A258" s="151">
        <v>760199</v>
      </c>
      <c r="B258" s="152">
        <v>44204</v>
      </c>
      <c r="C258" s="153">
        <v>3429.307198</v>
      </c>
      <c r="D258" s="151">
        <v>1.21</v>
      </c>
      <c r="E258" s="151" t="s">
        <v>305</v>
      </c>
      <c r="F258" s="152">
        <v>44188</v>
      </c>
      <c r="G258" s="155">
        <f t="shared" si="3"/>
        <v>5537.0241014052217</v>
      </c>
    </row>
    <row r="259" spans="1:7" x14ac:dyDescent="0.3">
      <c r="A259" s="151">
        <v>760199</v>
      </c>
      <c r="B259" s="152">
        <v>44207</v>
      </c>
      <c r="C259" s="153">
        <v>3431.2718359999999</v>
      </c>
      <c r="D259" s="151">
        <v>1.21</v>
      </c>
      <c r="E259" s="151" t="s">
        <v>305</v>
      </c>
      <c r="F259" s="152">
        <v>44188</v>
      </c>
      <c r="G259" s="155">
        <f t="shared" si="3"/>
        <v>5540.196242986146</v>
      </c>
    </row>
    <row r="260" spans="1:7" x14ac:dyDescent="0.3">
      <c r="A260" s="151">
        <v>760199</v>
      </c>
      <c r="B260" s="152">
        <v>44208</v>
      </c>
      <c r="C260" s="153">
        <v>3437.3088769999999</v>
      </c>
      <c r="D260" s="151">
        <v>1.35</v>
      </c>
      <c r="E260" s="151" t="s">
        <v>9</v>
      </c>
      <c r="F260" s="152">
        <v>44208</v>
      </c>
      <c r="G260" s="155">
        <f t="shared" si="3"/>
        <v>5549.9437632834433</v>
      </c>
    </row>
    <row r="261" spans="1:7" x14ac:dyDescent="0.3">
      <c r="A261" s="151">
        <v>760199</v>
      </c>
      <c r="B261" s="152">
        <v>44209</v>
      </c>
      <c r="C261" s="153">
        <v>3439.5045530000002</v>
      </c>
      <c r="D261" s="151">
        <v>1.35</v>
      </c>
      <c r="E261" s="151" t="s">
        <v>9</v>
      </c>
      <c r="F261" s="152">
        <v>44208</v>
      </c>
      <c r="G261" s="155">
        <f t="shared" ref="G261:G324" si="4">+C261/C260*G260</f>
        <v>5553.4889431780784</v>
      </c>
    </row>
    <row r="262" spans="1:7" x14ac:dyDescent="0.3">
      <c r="A262" s="151">
        <v>760199</v>
      </c>
      <c r="B262" s="152">
        <v>44210</v>
      </c>
      <c r="C262" s="153">
        <v>3441.70163</v>
      </c>
      <c r="D262" s="151">
        <v>1.35</v>
      </c>
      <c r="E262" s="151" t="s">
        <v>9</v>
      </c>
      <c r="F262" s="152">
        <v>44208</v>
      </c>
      <c r="G262" s="155">
        <f t="shared" si="4"/>
        <v>5557.0363851537459</v>
      </c>
    </row>
    <row r="263" spans="1:7" x14ac:dyDescent="0.3">
      <c r="A263" s="151">
        <v>760199</v>
      </c>
      <c r="B263" s="152">
        <v>44211</v>
      </c>
      <c r="C263" s="153">
        <v>3443.9001119999998</v>
      </c>
      <c r="D263" s="151">
        <v>1.35</v>
      </c>
      <c r="E263" s="151" t="s">
        <v>9</v>
      </c>
      <c r="F263" s="152">
        <v>44208</v>
      </c>
      <c r="G263" s="155">
        <f t="shared" si="4"/>
        <v>5560.5860956689212</v>
      </c>
    </row>
    <row r="264" spans="1:7" x14ac:dyDescent="0.3">
      <c r="A264" s="151">
        <v>760199</v>
      </c>
      <c r="B264" s="152">
        <v>44214</v>
      </c>
      <c r="C264" s="153">
        <v>3444.3423299999999</v>
      </c>
      <c r="D264" s="151">
        <v>0.27</v>
      </c>
      <c r="E264" s="151" t="s">
        <v>305</v>
      </c>
      <c r="F264" s="152">
        <v>44214</v>
      </c>
      <c r="G264" s="155">
        <f t="shared" si="4"/>
        <v>5561.30010919489</v>
      </c>
    </row>
    <row r="265" spans="1:7" x14ac:dyDescent="0.3">
      <c r="A265" s="151">
        <v>760199</v>
      </c>
      <c r="B265" s="152">
        <v>44215</v>
      </c>
      <c r="C265" s="153">
        <v>3444.7846060000002</v>
      </c>
      <c r="D265" s="151">
        <v>0.27</v>
      </c>
      <c r="E265" s="151" t="s">
        <v>305</v>
      </c>
      <c r="F265" s="152">
        <v>44214</v>
      </c>
      <c r="G265" s="155">
        <f t="shared" si="4"/>
        <v>5562.0142163687533</v>
      </c>
    </row>
    <row r="266" spans="1:7" x14ac:dyDescent="0.3">
      <c r="A266" s="151">
        <v>760199</v>
      </c>
      <c r="B266" s="152">
        <v>44216</v>
      </c>
      <c r="C266" s="153">
        <v>3445.2269379999998</v>
      </c>
      <c r="D266" s="151">
        <v>0.27</v>
      </c>
      <c r="E266" s="151" t="s">
        <v>305</v>
      </c>
      <c r="F266" s="152">
        <v>44214</v>
      </c>
      <c r="G266" s="155">
        <f t="shared" si="4"/>
        <v>5562.7284139612721</v>
      </c>
    </row>
    <row r="267" spans="1:7" x14ac:dyDescent="0.3">
      <c r="A267" s="151">
        <v>760199</v>
      </c>
      <c r="B267" s="152">
        <v>44217</v>
      </c>
      <c r="C267" s="153">
        <v>3445.669328</v>
      </c>
      <c r="D267" s="151">
        <v>0.27</v>
      </c>
      <c r="E267" s="151" t="s">
        <v>305</v>
      </c>
      <c r="F267" s="152">
        <v>44214</v>
      </c>
      <c r="G267" s="155">
        <f t="shared" si="4"/>
        <v>5563.4427052016863</v>
      </c>
    </row>
    <row r="268" spans="1:7" x14ac:dyDescent="0.3">
      <c r="A268" s="151">
        <v>760199</v>
      </c>
      <c r="B268" s="152">
        <v>44218</v>
      </c>
      <c r="C268" s="153">
        <v>3446.111774</v>
      </c>
      <c r="D268" s="151">
        <v>0.27</v>
      </c>
      <c r="E268" s="151" t="s">
        <v>305</v>
      </c>
      <c r="F268" s="152">
        <v>44214</v>
      </c>
      <c r="G268" s="155">
        <f t="shared" si="4"/>
        <v>5564.1570868607578</v>
      </c>
    </row>
    <row r="269" spans="1:7" x14ac:dyDescent="0.3">
      <c r="A269" s="151">
        <v>760199</v>
      </c>
      <c r="B269" s="152">
        <v>44221</v>
      </c>
      <c r="C269" s="153">
        <v>3446.5542770000002</v>
      </c>
      <c r="D269" s="151">
        <v>0.27</v>
      </c>
      <c r="E269" s="151" t="s">
        <v>305</v>
      </c>
      <c r="F269" s="152">
        <v>44214</v>
      </c>
      <c r="G269" s="155">
        <f t="shared" si="4"/>
        <v>5564.8715605531042</v>
      </c>
    </row>
    <row r="270" spans="1:7" x14ac:dyDescent="0.3">
      <c r="A270" s="151">
        <v>760199</v>
      </c>
      <c r="B270" s="152">
        <v>44222</v>
      </c>
      <c r="C270" s="153">
        <v>3446.9968359999998</v>
      </c>
      <c r="D270" s="151">
        <v>0.27</v>
      </c>
      <c r="E270" s="151" t="s">
        <v>305</v>
      </c>
      <c r="F270" s="152">
        <v>44214</v>
      </c>
      <c r="G270" s="155">
        <f t="shared" si="4"/>
        <v>5565.5861246641061</v>
      </c>
    </row>
    <row r="271" spans="1:7" x14ac:dyDescent="0.3">
      <c r="A271" s="151">
        <v>760199</v>
      </c>
      <c r="B271" s="152">
        <v>44223</v>
      </c>
      <c r="C271" s="153">
        <v>3447.8323479999999</v>
      </c>
      <c r="D271" s="151">
        <v>0.3</v>
      </c>
      <c r="E271" s="151" t="s">
        <v>305</v>
      </c>
      <c r="F271" s="152">
        <v>44223</v>
      </c>
      <c r="G271" s="155">
        <f t="shared" si="4"/>
        <v>5566.9351581026121</v>
      </c>
    </row>
    <row r="272" spans="1:7" x14ac:dyDescent="0.3">
      <c r="A272" s="151">
        <v>760199</v>
      </c>
      <c r="B272" s="152">
        <v>44224</v>
      </c>
      <c r="C272" s="153">
        <v>3448.3241939999998</v>
      </c>
      <c r="D272" s="151">
        <v>0.3</v>
      </c>
      <c r="E272" s="151" t="s">
        <v>305</v>
      </c>
      <c r="F272" s="152">
        <v>44223</v>
      </c>
      <c r="G272" s="155">
        <f t="shared" si="4"/>
        <v>5567.7293019336948</v>
      </c>
    </row>
    <row r="273" spans="1:7" x14ac:dyDescent="0.3">
      <c r="A273" s="151">
        <v>760199</v>
      </c>
      <c r="B273" s="152">
        <v>44225</v>
      </c>
      <c r="C273" s="153">
        <v>3448.8161089999999</v>
      </c>
      <c r="D273" s="151">
        <v>0.3</v>
      </c>
      <c r="E273" s="151" t="s">
        <v>305</v>
      </c>
      <c r="F273" s="152">
        <v>44223</v>
      </c>
      <c r="G273" s="155">
        <f t="shared" si="4"/>
        <v>5568.5235571734793</v>
      </c>
    </row>
    <row r="274" spans="1:7" x14ac:dyDescent="0.3">
      <c r="A274" s="151">
        <v>760199</v>
      </c>
      <c r="B274" s="152">
        <v>44228</v>
      </c>
      <c r="C274" s="153">
        <v>3449.3080949999999</v>
      </c>
      <c r="D274" s="151">
        <v>0.3</v>
      </c>
      <c r="E274" s="151" t="s">
        <v>305</v>
      </c>
      <c r="F274" s="152">
        <v>44223</v>
      </c>
      <c r="G274" s="155">
        <f t="shared" si="4"/>
        <v>5569.3179270512028</v>
      </c>
    </row>
    <row r="275" spans="1:7" x14ac:dyDescent="0.3">
      <c r="A275" s="151">
        <v>760199</v>
      </c>
      <c r="B275" s="152">
        <v>44229</v>
      </c>
      <c r="C275" s="153">
        <v>3449.80015</v>
      </c>
      <c r="D275" s="151">
        <v>0.3</v>
      </c>
      <c r="E275" s="151" t="s">
        <v>305</v>
      </c>
      <c r="F275" s="152">
        <v>44223</v>
      </c>
      <c r="G275" s="155">
        <f t="shared" si="4"/>
        <v>5570.1124083376289</v>
      </c>
    </row>
    <row r="276" spans="1:7" x14ac:dyDescent="0.3">
      <c r="A276" s="151">
        <v>760199</v>
      </c>
      <c r="B276" s="152">
        <v>44230</v>
      </c>
      <c r="C276" s="153">
        <v>3450.2922760000001</v>
      </c>
      <c r="D276" s="151">
        <v>0.3</v>
      </c>
      <c r="E276" s="151" t="s">
        <v>305</v>
      </c>
      <c r="F276" s="152">
        <v>44223</v>
      </c>
      <c r="G276" s="155">
        <f t="shared" si="4"/>
        <v>5570.9070042619951</v>
      </c>
    </row>
    <row r="277" spans="1:7" x14ac:dyDescent="0.3">
      <c r="A277" s="151">
        <v>760199</v>
      </c>
      <c r="B277" s="152">
        <v>44231</v>
      </c>
      <c r="C277" s="153">
        <v>3450.7844719999998</v>
      </c>
      <c r="D277" s="151">
        <v>0.3</v>
      </c>
      <c r="E277" s="151" t="s">
        <v>305</v>
      </c>
      <c r="F277" s="152">
        <v>44223</v>
      </c>
      <c r="G277" s="155">
        <f t="shared" si="4"/>
        <v>5571.7017132096817</v>
      </c>
    </row>
    <row r="278" spans="1:7" x14ac:dyDescent="0.3">
      <c r="A278" s="151">
        <v>760199</v>
      </c>
      <c r="B278" s="152">
        <v>44232</v>
      </c>
      <c r="C278" s="153">
        <v>3451.2767389999999</v>
      </c>
      <c r="D278" s="151">
        <v>0.3</v>
      </c>
      <c r="E278" s="151" t="s">
        <v>305</v>
      </c>
      <c r="F278" s="152">
        <v>44223</v>
      </c>
      <c r="G278" s="155">
        <f t="shared" si="4"/>
        <v>5572.4965367953073</v>
      </c>
    </row>
    <row r="279" spans="1:7" x14ac:dyDescent="0.3">
      <c r="A279" s="151">
        <v>760199</v>
      </c>
      <c r="B279" s="152">
        <v>44235</v>
      </c>
      <c r="C279" s="153">
        <v>3451.7690750000002</v>
      </c>
      <c r="D279" s="151">
        <v>0.3</v>
      </c>
      <c r="E279" s="151" t="s">
        <v>305</v>
      </c>
      <c r="F279" s="152">
        <v>44223</v>
      </c>
      <c r="G279" s="155">
        <f t="shared" si="4"/>
        <v>5573.2914717896356</v>
      </c>
    </row>
    <row r="280" spans="1:7" x14ac:dyDescent="0.3">
      <c r="A280" s="151">
        <v>760199</v>
      </c>
      <c r="B280" s="152">
        <v>44236</v>
      </c>
      <c r="C280" s="153">
        <v>3450.8675119999998</v>
      </c>
      <c r="D280" s="151">
        <v>0.25</v>
      </c>
      <c r="E280" s="151" t="s">
        <v>9</v>
      </c>
      <c r="F280" s="152">
        <v>44236</v>
      </c>
      <c r="G280" s="155">
        <f t="shared" si="4"/>
        <v>5571.835791160368</v>
      </c>
    </row>
    <row r="281" spans="1:7" x14ac:dyDescent="0.3">
      <c r="A281" s="151">
        <v>760199</v>
      </c>
      <c r="B281" s="152">
        <v>44237</v>
      </c>
      <c r="C281" s="153">
        <v>3451.2777980000001</v>
      </c>
      <c r="D281" s="151">
        <v>0.25</v>
      </c>
      <c r="E281" s="151" t="s">
        <v>9</v>
      </c>
      <c r="F281" s="152">
        <v>44236</v>
      </c>
      <c r="G281" s="155">
        <f t="shared" si="4"/>
        <v>5572.4982466766878</v>
      </c>
    </row>
    <row r="282" spans="1:7" x14ac:dyDescent="0.3">
      <c r="A282" s="151">
        <v>760199</v>
      </c>
      <c r="B282" s="152">
        <v>44238</v>
      </c>
      <c r="C282" s="153">
        <v>3451.6881330000001</v>
      </c>
      <c r="D282" s="151">
        <v>0.25</v>
      </c>
      <c r="E282" s="151" t="s">
        <v>9</v>
      </c>
      <c r="F282" s="152">
        <v>44236</v>
      </c>
      <c r="G282" s="155">
        <f t="shared" si="4"/>
        <v>5573.1607813093324</v>
      </c>
    </row>
    <row r="283" spans="1:7" x14ac:dyDescent="0.3">
      <c r="A283" s="151">
        <v>760199</v>
      </c>
      <c r="B283" s="152">
        <v>44239</v>
      </c>
      <c r="C283" s="153">
        <v>3452.098516</v>
      </c>
      <c r="D283" s="151">
        <v>0.25</v>
      </c>
      <c r="E283" s="151" t="s">
        <v>9</v>
      </c>
      <c r="F283" s="152">
        <v>44236</v>
      </c>
      <c r="G283" s="155">
        <f t="shared" si="4"/>
        <v>5573.8233934436812</v>
      </c>
    </row>
    <row r="284" spans="1:7" x14ac:dyDescent="0.3">
      <c r="A284" s="151">
        <v>760199</v>
      </c>
      <c r="B284" s="152">
        <v>44244</v>
      </c>
      <c r="C284" s="153">
        <v>3452.508949</v>
      </c>
      <c r="D284" s="151">
        <v>0.25</v>
      </c>
      <c r="E284" s="151" t="s">
        <v>9</v>
      </c>
      <c r="F284" s="152">
        <v>44236</v>
      </c>
      <c r="G284" s="155">
        <f t="shared" si="4"/>
        <v>5574.4860863089734</v>
      </c>
    </row>
    <row r="285" spans="1:7" x14ac:dyDescent="0.3">
      <c r="A285" s="151">
        <v>760199</v>
      </c>
      <c r="B285" s="152">
        <v>44245</v>
      </c>
      <c r="C285" s="153">
        <v>3453.7709399999999</v>
      </c>
      <c r="D285" s="151">
        <v>0.66</v>
      </c>
      <c r="E285" s="151" t="s">
        <v>305</v>
      </c>
      <c r="F285" s="152">
        <v>44245</v>
      </c>
      <c r="G285" s="155">
        <f t="shared" si="4"/>
        <v>5576.5237207871069</v>
      </c>
    </row>
    <row r="286" spans="1:7" x14ac:dyDescent="0.3">
      <c r="A286" s="151">
        <v>760199</v>
      </c>
      <c r="B286" s="152">
        <v>44246</v>
      </c>
      <c r="C286" s="153">
        <v>3455.0333919999998</v>
      </c>
      <c r="D286" s="151">
        <v>0.66</v>
      </c>
      <c r="E286" s="151" t="s">
        <v>305</v>
      </c>
      <c r="F286" s="152">
        <v>44245</v>
      </c>
      <c r="G286" s="155">
        <f t="shared" si="4"/>
        <v>5578.5620996045382</v>
      </c>
    </row>
    <row r="287" spans="1:7" x14ac:dyDescent="0.3">
      <c r="A287" s="151">
        <v>760199</v>
      </c>
      <c r="B287" s="152">
        <v>44249</v>
      </c>
      <c r="C287" s="153">
        <v>3456.2963060000002</v>
      </c>
      <c r="D287" s="151">
        <v>0.66</v>
      </c>
      <c r="E287" s="151" t="s">
        <v>305</v>
      </c>
      <c r="F287" s="152">
        <v>44245</v>
      </c>
      <c r="G287" s="155">
        <f t="shared" si="4"/>
        <v>5580.6012243758869</v>
      </c>
    </row>
    <row r="288" spans="1:7" x14ac:dyDescent="0.3">
      <c r="A288" s="151">
        <v>760199</v>
      </c>
      <c r="B288" s="152">
        <v>44250</v>
      </c>
      <c r="C288" s="153">
        <v>3457.5596820000001</v>
      </c>
      <c r="D288" s="151">
        <v>0.66</v>
      </c>
      <c r="E288" s="151" t="s">
        <v>305</v>
      </c>
      <c r="F288" s="152">
        <v>44245</v>
      </c>
      <c r="G288" s="155">
        <f t="shared" si="4"/>
        <v>5582.6410951011503</v>
      </c>
    </row>
    <row r="289" spans="1:7" x14ac:dyDescent="0.3">
      <c r="A289" s="151">
        <v>760199</v>
      </c>
      <c r="B289" s="152">
        <v>44251</v>
      </c>
      <c r="C289" s="153">
        <v>3458.8235199999999</v>
      </c>
      <c r="D289" s="151">
        <v>0.66</v>
      </c>
      <c r="E289" s="151" t="s">
        <v>305</v>
      </c>
      <c r="F289" s="152">
        <v>44245</v>
      </c>
      <c r="G289" s="155">
        <f t="shared" si="4"/>
        <v>5584.6817117803303</v>
      </c>
    </row>
    <row r="290" spans="1:7" x14ac:dyDescent="0.3">
      <c r="A290" s="151">
        <v>760199</v>
      </c>
      <c r="B290" s="152">
        <v>44252</v>
      </c>
      <c r="C290" s="153">
        <v>3460.0878189999999</v>
      </c>
      <c r="D290" s="151">
        <v>0.66</v>
      </c>
      <c r="E290" s="151" t="s">
        <v>305</v>
      </c>
      <c r="F290" s="152">
        <v>44252</v>
      </c>
      <c r="G290" s="155">
        <f t="shared" si="4"/>
        <v>5586.7230727988081</v>
      </c>
    </row>
    <row r="291" spans="1:7" x14ac:dyDescent="0.3">
      <c r="A291" s="151">
        <v>760199</v>
      </c>
      <c r="B291" s="152">
        <v>44253</v>
      </c>
      <c r="C291" s="153">
        <v>3461.3525810000001</v>
      </c>
      <c r="D291" s="151">
        <v>0.66</v>
      </c>
      <c r="E291" s="151" t="s">
        <v>305</v>
      </c>
      <c r="F291" s="152">
        <v>44252</v>
      </c>
      <c r="G291" s="155">
        <f t="shared" si="4"/>
        <v>5588.765181385822</v>
      </c>
    </row>
    <row r="292" spans="1:7" x14ac:dyDescent="0.3">
      <c r="A292" s="151">
        <v>760199</v>
      </c>
      <c r="B292" s="152">
        <v>44256</v>
      </c>
      <c r="C292" s="153">
        <v>3462.6178049999999</v>
      </c>
      <c r="D292" s="151">
        <v>0.66</v>
      </c>
      <c r="E292" s="151" t="s">
        <v>305</v>
      </c>
      <c r="F292" s="152">
        <v>44252</v>
      </c>
      <c r="G292" s="155">
        <f t="shared" si="4"/>
        <v>5590.8080359267515</v>
      </c>
    </row>
    <row r="293" spans="1:7" x14ac:dyDescent="0.3">
      <c r="A293" s="151">
        <v>760199</v>
      </c>
      <c r="B293" s="152">
        <v>44257</v>
      </c>
      <c r="C293" s="153">
        <v>3463.883491</v>
      </c>
      <c r="D293" s="151">
        <v>0.66</v>
      </c>
      <c r="E293" s="151" t="s">
        <v>305</v>
      </c>
      <c r="F293" s="152">
        <v>44252</v>
      </c>
      <c r="G293" s="155">
        <f t="shared" si="4"/>
        <v>5592.8516364215975</v>
      </c>
    </row>
    <row r="294" spans="1:7" x14ac:dyDescent="0.3">
      <c r="A294" s="151">
        <v>760199</v>
      </c>
      <c r="B294" s="152">
        <v>44258</v>
      </c>
      <c r="C294" s="153">
        <v>3465.1496400000001</v>
      </c>
      <c r="D294" s="151">
        <v>0.66</v>
      </c>
      <c r="E294" s="151" t="s">
        <v>305</v>
      </c>
      <c r="F294" s="152">
        <v>44252</v>
      </c>
      <c r="G294" s="155">
        <f t="shared" si="4"/>
        <v>5594.8959844849787</v>
      </c>
    </row>
    <row r="295" spans="1:7" x14ac:dyDescent="0.3">
      <c r="A295" s="151">
        <v>760199</v>
      </c>
      <c r="B295" s="152">
        <v>44259</v>
      </c>
      <c r="C295" s="153">
        <v>3466.416252</v>
      </c>
      <c r="D295" s="151">
        <v>0.66</v>
      </c>
      <c r="E295" s="151" t="s">
        <v>305</v>
      </c>
      <c r="F295" s="152">
        <v>44252</v>
      </c>
      <c r="G295" s="155">
        <f t="shared" si="4"/>
        <v>5596.9410801168942</v>
      </c>
    </row>
    <row r="296" spans="1:7" x14ac:dyDescent="0.3">
      <c r="A296" s="151">
        <v>760199</v>
      </c>
      <c r="B296" s="152">
        <v>44260</v>
      </c>
      <c r="C296" s="153">
        <v>3467.6833270000002</v>
      </c>
      <c r="D296" s="151">
        <v>0.66</v>
      </c>
      <c r="E296" s="151" t="s">
        <v>305</v>
      </c>
      <c r="F296" s="152">
        <v>44252</v>
      </c>
      <c r="G296" s="155">
        <f t="shared" si="4"/>
        <v>5598.9869233173467</v>
      </c>
    </row>
    <row r="297" spans="1:7" x14ac:dyDescent="0.3">
      <c r="A297" s="151">
        <v>760199</v>
      </c>
      <c r="B297" s="152">
        <v>44263</v>
      </c>
      <c r="C297" s="153">
        <v>3468.9508649999998</v>
      </c>
      <c r="D297" s="151">
        <v>0.66</v>
      </c>
      <c r="E297" s="151" t="s">
        <v>305</v>
      </c>
      <c r="F297" s="152">
        <v>44252</v>
      </c>
      <c r="G297" s="155">
        <f t="shared" si="4"/>
        <v>5601.0335140863326</v>
      </c>
    </row>
    <row r="298" spans="1:7" x14ac:dyDescent="0.3">
      <c r="A298" s="151">
        <v>760199</v>
      </c>
      <c r="B298" s="152">
        <v>44264</v>
      </c>
      <c r="C298" s="153">
        <v>3470.2188660000002</v>
      </c>
      <c r="D298" s="151">
        <v>0.66</v>
      </c>
      <c r="E298" s="151" t="s">
        <v>305</v>
      </c>
      <c r="F298" s="152">
        <v>44252</v>
      </c>
      <c r="G298" s="155">
        <f t="shared" si="4"/>
        <v>5603.0808524238546</v>
      </c>
    </row>
    <row r="299" spans="1:7" x14ac:dyDescent="0.3">
      <c r="A299" s="151">
        <v>760199</v>
      </c>
      <c r="B299" s="152">
        <v>44265</v>
      </c>
      <c r="C299" s="153">
        <v>3471.4873309999998</v>
      </c>
      <c r="D299" s="151">
        <v>0.66</v>
      </c>
      <c r="E299" s="151" t="s">
        <v>305</v>
      </c>
      <c r="F299" s="152">
        <v>44252</v>
      </c>
      <c r="G299" s="155">
        <f t="shared" si="4"/>
        <v>5605.1289399445304</v>
      </c>
    </row>
    <row r="300" spans="1:7" x14ac:dyDescent="0.3">
      <c r="A300" s="151">
        <v>760199</v>
      </c>
      <c r="B300" s="152">
        <v>44266</v>
      </c>
      <c r="C300" s="153">
        <v>3478.8885540000001</v>
      </c>
      <c r="D300" s="151">
        <v>0.86</v>
      </c>
      <c r="E300" s="151" t="s">
        <v>9</v>
      </c>
      <c r="F300" s="152">
        <v>44266</v>
      </c>
      <c r="G300" s="155">
        <f t="shared" si="4"/>
        <v>5617.079094236562</v>
      </c>
    </row>
    <row r="301" spans="1:7" x14ac:dyDescent="0.3">
      <c r="A301" s="151">
        <v>760199</v>
      </c>
      <c r="B301" s="152">
        <v>44267</v>
      </c>
      <c r="C301" s="153">
        <v>3480.543956</v>
      </c>
      <c r="D301" s="151">
        <v>0.86</v>
      </c>
      <c r="E301" s="151" t="s">
        <v>9</v>
      </c>
      <c r="F301" s="152">
        <v>44266</v>
      </c>
      <c r="G301" s="155">
        <f t="shared" si="4"/>
        <v>5619.7519375376405</v>
      </c>
    </row>
    <row r="302" spans="1:7" x14ac:dyDescent="0.3">
      <c r="A302" s="151">
        <v>760199</v>
      </c>
      <c r="B302" s="152">
        <v>44270</v>
      </c>
      <c r="C302" s="153">
        <v>3482.2001460000001</v>
      </c>
      <c r="D302" s="151">
        <v>0.86</v>
      </c>
      <c r="E302" s="151" t="s">
        <v>9</v>
      </c>
      <c r="F302" s="152">
        <v>44266</v>
      </c>
      <c r="G302" s="155">
        <f t="shared" si="4"/>
        <v>5622.4260531583859</v>
      </c>
    </row>
    <row r="303" spans="1:7" x14ac:dyDescent="0.3">
      <c r="A303" s="151">
        <v>760199</v>
      </c>
      <c r="B303" s="152">
        <v>44271</v>
      </c>
      <c r="C303" s="153">
        <v>3483.5872089999998</v>
      </c>
      <c r="D303" s="151">
        <v>0.88</v>
      </c>
      <c r="E303" s="151" t="s">
        <v>305</v>
      </c>
      <c r="F303" s="152">
        <v>44271</v>
      </c>
      <c r="G303" s="155">
        <f t="shared" si="4"/>
        <v>5624.6656312474079</v>
      </c>
    </row>
    <row r="304" spans="1:7" x14ac:dyDescent="0.3">
      <c r="A304" s="151">
        <v>760199</v>
      </c>
      <c r="B304" s="152">
        <v>44272</v>
      </c>
      <c r="C304" s="153">
        <v>3484.9748249999998</v>
      </c>
      <c r="D304" s="151">
        <v>0.88</v>
      </c>
      <c r="E304" s="151" t="s">
        <v>305</v>
      </c>
      <c r="F304" s="152">
        <v>44271</v>
      </c>
      <c r="G304" s="155">
        <f t="shared" si="4"/>
        <v>5626.9061022206633</v>
      </c>
    </row>
    <row r="305" spans="1:7" x14ac:dyDescent="0.3">
      <c r="A305" s="151">
        <v>760199</v>
      </c>
      <c r="B305" s="152">
        <v>44273</v>
      </c>
      <c r="C305" s="153">
        <v>3486.3629930000002</v>
      </c>
      <c r="D305" s="151">
        <v>0.88</v>
      </c>
      <c r="E305" s="151" t="s">
        <v>305</v>
      </c>
      <c r="F305" s="152">
        <v>44271</v>
      </c>
      <c r="G305" s="155">
        <f t="shared" si="4"/>
        <v>5629.1474644635337</v>
      </c>
    </row>
    <row r="306" spans="1:7" x14ac:dyDescent="0.3">
      <c r="A306" s="151">
        <v>760199</v>
      </c>
      <c r="B306" s="152">
        <v>44274</v>
      </c>
      <c r="C306" s="153">
        <v>3487.7517149999999</v>
      </c>
      <c r="D306" s="151">
        <v>0.88</v>
      </c>
      <c r="E306" s="151" t="s">
        <v>305</v>
      </c>
      <c r="F306" s="152">
        <v>44271</v>
      </c>
      <c r="G306" s="155">
        <f t="shared" si="4"/>
        <v>5631.3897212052561</v>
      </c>
    </row>
    <row r="307" spans="1:7" x14ac:dyDescent="0.3">
      <c r="A307" s="151">
        <v>760199</v>
      </c>
      <c r="B307" s="152">
        <v>44277</v>
      </c>
      <c r="C307" s="153">
        <v>3489.140989</v>
      </c>
      <c r="D307" s="151">
        <v>0.88</v>
      </c>
      <c r="E307" s="151" t="s">
        <v>305</v>
      </c>
      <c r="F307" s="152">
        <v>44271</v>
      </c>
      <c r="G307" s="155">
        <f t="shared" si="4"/>
        <v>5633.6328692165935</v>
      </c>
    </row>
    <row r="308" spans="1:7" x14ac:dyDescent="0.3">
      <c r="A308" s="151">
        <v>760199</v>
      </c>
      <c r="B308" s="152">
        <v>44278</v>
      </c>
      <c r="C308" s="153">
        <v>3490.5308169999998</v>
      </c>
      <c r="D308" s="151">
        <v>0.88</v>
      </c>
      <c r="E308" s="151" t="s">
        <v>305</v>
      </c>
      <c r="F308" s="152">
        <v>44271</v>
      </c>
      <c r="G308" s="155">
        <f t="shared" si="4"/>
        <v>5635.8769117267811</v>
      </c>
    </row>
    <row r="309" spans="1:7" x14ac:dyDescent="0.3">
      <c r="A309" s="151">
        <v>760199</v>
      </c>
      <c r="B309" s="152">
        <v>44279</v>
      </c>
      <c r="C309" s="153">
        <v>3491.9211989999999</v>
      </c>
      <c r="D309" s="151">
        <v>0.88</v>
      </c>
      <c r="E309" s="151" t="s">
        <v>305</v>
      </c>
      <c r="F309" s="152">
        <v>44271</v>
      </c>
      <c r="G309" s="155">
        <f t="shared" si="4"/>
        <v>5638.1218487358219</v>
      </c>
    </row>
    <row r="310" spans="1:7" x14ac:dyDescent="0.3">
      <c r="A310" s="151">
        <v>760199</v>
      </c>
      <c r="B310" s="152">
        <v>44280</v>
      </c>
      <c r="C310" s="153">
        <v>3493.3121339999998</v>
      </c>
      <c r="D310" s="151">
        <v>0.88</v>
      </c>
      <c r="E310" s="151" t="s">
        <v>305</v>
      </c>
      <c r="F310" s="152">
        <v>44271</v>
      </c>
      <c r="G310" s="155">
        <f t="shared" si="4"/>
        <v>5640.3676786290962</v>
      </c>
    </row>
    <row r="311" spans="1:7" x14ac:dyDescent="0.3">
      <c r="A311" s="151">
        <v>760199</v>
      </c>
      <c r="B311" s="152">
        <v>44281</v>
      </c>
      <c r="C311" s="153">
        <v>3496.9700509999998</v>
      </c>
      <c r="D311" s="151">
        <v>1.04</v>
      </c>
      <c r="E311" s="151" t="s">
        <v>305</v>
      </c>
      <c r="F311" s="152">
        <v>44281</v>
      </c>
      <c r="G311" s="155">
        <f t="shared" si="4"/>
        <v>5646.2738204299103</v>
      </c>
    </row>
    <row r="312" spans="1:7" x14ac:dyDescent="0.3">
      <c r="A312" s="151">
        <v>760199</v>
      </c>
      <c r="B312" s="152">
        <v>44284</v>
      </c>
      <c r="C312" s="153">
        <v>3498.615014</v>
      </c>
      <c r="D312" s="151">
        <v>1.04</v>
      </c>
      <c r="E312" s="151" t="s">
        <v>305</v>
      </c>
      <c r="F312" s="152">
        <v>44281</v>
      </c>
      <c r="G312" s="155">
        <f t="shared" si="4"/>
        <v>5648.9298087246407</v>
      </c>
    </row>
    <row r="313" spans="1:7" x14ac:dyDescent="0.3">
      <c r="A313" s="151">
        <v>760199</v>
      </c>
      <c r="B313" s="152">
        <v>44285</v>
      </c>
      <c r="C313" s="153">
        <v>3500.2607499999999</v>
      </c>
      <c r="D313" s="151">
        <v>1.04</v>
      </c>
      <c r="E313" s="151" t="s">
        <v>305</v>
      </c>
      <c r="F313" s="152">
        <v>44281</v>
      </c>
      <c r="G313" s="155">
        <f t="shared" si="4"/>
        <v>5651.5870451197543</v>
      </c>
    </row>
    <row r="314" spans="1:7" x14ac:dyDescent="0.3">
      <c r="A314" s="151">
        <v>760199</v>
      </c>
      <c r="B314" s="152">
        <v>44286</v>
      </c>
      <c r="C314" s="153">
        <v>3501.9072609999998</v>
      </c>
      <c r="D314" s="151">
        <v>1.04</v>
      </c>
      <c r="E314" s="151" t="s">
        <v>305</v>
      </c>
      <c r="F314" s="152">
        <v>44281</v>
      </c>
      <c r="G314" s="155">
        <f t="shared" si="4"/>
        <v>5654.2455328444885</v>
      </c>
    </row>
    <row r="315" spans="1:7" x14ac:dyDescent="0.3">
      <c r="A315" s="151">
        <v>760199</v>
      </c>
      <c r="B315" s="152">
        <v>44287</v>
      </c>
      <c r="C315" s="153">
        <v>3503.5545459999998</v>
      </c>
      <c r="D315" s="151">
        <v>1.04</v>
      </c>
      <c r="E315" s="151" t="s">
        <v>305</v>
      </c>
      <c r="F315" s="152">
        <v>44281</v>
      </c>
      <c r="G315" s="155">
        <f t="shared" si="4"/>
        <v>5656.9052702842264</v>
      </c>
    </row>
    <row r="316" spans="1:7" x14ac:dyDescent="0.3">
      <c r="A316" s="151">
        <v>760199</v>
      </c>
      <c r="B316" s="152">
        <v>44291</v>
      </c>
      <c r="C316" s="153">
        <v>3505.2026059999998</v>
      </c>
      <c r="D316" s="151">
        <v>1.04</v>
      </c>
      <c r="E316" s="151" t="s">
        <v>305</v>
      </c>
      <c r="F316" s="152">
        <v>44281</v>
      </c>
      <c r="G316" s="155">
        <f t="shared" si="4"/>
        <v>5659.5662590535858</v>
      </c>
    </row>
    <row r="317" spans="1:7" x14ac:dyDescent="0.3">
      <c r="A317" s="151">
        <v>760199</v>
      </c>
      <c r="B317" s="152">
        <v>44292</v>
      </c>
      <c r="C317" s="153">
        <v>3506.8514420000001</v>
      </c>
      <c r="D317" s="151">
        <v>1.04</v>
      </c>
      <c r="E317" s="151" t="s">
        <v>305</v>
      </c>
      <c r="F317" s="152">
        <v>44281</v>
      </c>
      <c r="G317" s="155">
        <f t="shared" si="4"/>
        <v>5662.2285007671871</v>
      </c>
    </row>
    <row r="318" spans="1:7" x14ac:dyDescent="0.3">
      <c r="A318" s="151">
        <v>760199</v>
      </c>
      <c r="B318" s="152">
        <v>44293</v>
      </c>
      <c r="C318" s="153">
        <v>3508.501053</v>
      </c>
      <c r="D318" s="151">
        <v>1.04</v>
      </c>
      <c r="E318" s="151" t="s">
        <v>305</v>
      </c>
      <c r="F318" s="152">
        <v>44281</v>
      </c>
      <c r="G318" s="155">
        <f t="shared" si="4"/>
        <v>5664.8919938104082</v>
      </c>
    </row>
    <row r="319" spans="1:7" x14ac:dyDescent="0.3">
      <c r="A319" s="151">
        <v>760199</v>
      </c>
      <c r="B319" s="152">
        <v>44294</v>
      </c>
      <c r="C319" s="153">
        <v>3510.1514400000001</v>
      </c>
      <c r="D319" s="151">
        <v>1.04</v>
      </c>
      <c r="E319" s="151" t="s">
        <v>305</v>
      </c>
      <c r="F319" s="152">
        <v>44281</v>
      </c>
      <c r="G319" s="155">
        <f t="shared" si="4"/>
        <v>5667.5567397978712</v>
      </c>
    </row>
    <row r="320" spans="1:7" x14ac:dyDescent="0.3">
      <c r="A320" s="151">
        <v>760199</v>
      </c>
      <c r="B320" s="152">
        <v>44295</v>
      </c>
      <c r="C320" s="153">
        <v>3508.6749119999999</v>
      </c>
      <c r="D320" s="151">
        <v>0.93</v>
      </c>
      <c r="E320" s="151" t="s">
        <v>9</v>
      </c>
      <c r="F320" s="152">
        <v>44295</v>
      </c>
      <c r="G320" s="155">
        <f t="shared" si="4"/>
        <v>5665.1727098319443</v>
      </c>
    </row>
    <row r="321" spans="1:7" x14ac:dyDescent="0.3">
      <c r="A321" s="151">
        <v>760199</v>
      </c>
      <c r="B321" s="152">
        <v>44298</v>
      </c>
      <c r="C321" s="153">
        <v>3510.1516200000001</v>
      </c>
      <c r="D321" s="151">
        <v>0.93</v>
      </c>
      <c r="E321" s="151" t="s">
        <v>9</v>
      </c>
      <c r="F321" s="152">
        <v>44295</v>
      </c>
      <c r="G321" s="155">
        <f t="shared" si="4"/>
        <v>5667.5570304292678</v>
      </c>
    </row>
    <row r="322" spans="1:7" x14ac:dyDescent="0.3">
      <c r="A322" s="151">
        <v>760199</v>
      </c>
      <c r="B322" s="152">
        <v>44299</v>
      </c>
      <c r="C322" s="153">
        <v>3511.6289499999998</v>
      </c>
      <c r="D322" s="151">
        <v>0.93</v>
      </c>
      <c r="E322" s="151" t="s">
        <v>9</v>
      </c>
      <c r="F322" s="152">
        <v>44295</v>
      </c>
      <c r="G322" s="155">
        <f t="shared" si="4"/>
        <v>5669.9423553195247</v>
      </c>
    </row>
    <row r="323" spans="1:7" x14ac:dyDescent="0.3">
      <c r="A323" s="151">
        <v>760199</v>
      </c>
      <c r="B323" s="152">
        <v>44300</v>
      </c>
      <c r="C323" s="153">
        <v>3513.1069010000001</v>
      </c>
      <c r="D323" s="151">
        <v>0.93</v>
      </c>
      <c r="E323" s="151" t="s">
        <v>9</v>
      </c>
      <c r="F323" s="152">
        <v>44295</v>
      </c>
      <c r="G323" s="155">
        <f t="shared" si="4"/>
        <v>5672.3286828880982</v>
      </c>
    </row>
    <row r="324" spans="1:7" x14ac:dyDescent="0.3">
      <c r="A324" s="151">
        <v>760199</v>
      </c>
      <c r="B324" s="152">
        <v>44301</v>
      </c>
      <c r="C324" s="153">
        <v>3514.5854749999999</v>
      </c>
      <c r="D324" s="151">
        <v>0.93</v>
      </c>
      <c r="E324" s="151" t="s">
        <v>9</v>
      </c>
      <c r="F324" s="152">
        <v>44295</v>
      </c>
      <c r="G324" s="155">
        <f t="shared" si="4"/>
        <v>5674.7160163642247</v>
      </c>
    </row>
    <row r="325" spans="1:7" x14ac:dyDescent="0.3">
      <c r="A325" s="151">
        <v>760199</v>
      </c>
      <c r="B325" s="152">
        <v>44302</v>
      </c>
      <c r="C325" s="153">
        <v>3515.2369739999999</v>
      </c>
      <c r="D325" s="151">
        <v>0.39</v>
      </c>
      <c r="E325" s="151" t="s">
        <v>305</v>
      </c>
      <c r="F325" s="152">
        <v>44302</v>
      </c>
      <c r="G325" s="155">
        <f t="shared" ref="G325:G388" si="5">+C325/C324*G324</f>
        <v>5675.7679389412233</v>
      </c>
    </row>
    <row r="326" spans="1:7" x14ac:dyDescent="0.3">
      <c r="A326" s="151">
        <v>760199</v>
      </c>
      <c r="B326" s="152">
        <v>44305</v>
      </c>
      <c r="C326" s="153">
        <v>3515.8885949999999</v>
      </c>
      <c r="D326" s="151">
        <v>0.39</v>
      </c>
      <c r="E326" s="151" t="s">
        <v>305</v>
      </c>
      <c r="F326" s="152">
        <v>44302</v>
      </c>
      <c r="G326" s="155">
        <f t="shared" si="5"/>
        <v>5676.8200585017239</v>
      </c>
    </row>
    <row r="327" spans="1:7" x14ac:dyDescent="0.3">
      <c r="A327" s="151">
        <v>760199</v>
      </c>
      <c r="B327" s="152">
        <v>44306</v>
      </c>
      <c r="C327" s="153">
        <v>3516.540336</v>
      </c>
      <c r="D327" s="151">
        <v>0.39</v>
      </c>
      <c r="E327" s="151" t="s">
        <v>305</v>
      </c>
      <c r="F327" s="152">
        <v>44302</v>
      </c>
      <c r="G327" s="155">
        <f t="shared" si="5"/>
        <v>5677.8723718164892</v>
      </c>
    </row>
    <row r="328" spans="1:7" x14ac:dyDescent="0.3">
      <c r="A328" s="151">
        <v>760199</v>
      </c>
      <c r="B328" s="152">
        <v>44308</v>
      </c>
      <c r="C328" s="153">
        <v>3517.1921980000002</v>
      </c>
      <c r="D328" s="151">
        <v>0.39</v>
      </c>
      <c r="E328" s="151" t="s">
        <v>305</v>
      </c>
      <c r="F328" s="152">
        <v>44302</v>
      </c>
      <c r="G328" s="155">
        <f t="shared" si="5"/>
        <v>5678.9248805001371</v>
      </c>
    </row>
    <row r="329" spans="1:7" x14ac:dyDescent="0.3">
      <c r="A329" s="151">
        <v>760199</v>
      </c>
      <c r="B329" s="152">
        <v>44309</v>
      </c>
      <c r="C329" s="153">
        <v>3517.8441809999999</v>
      </c>
      <c r="D329" s="151">
        <v>0.39</v>
      </c>
      <c r="E329" s="151" t="s">
        <v>305</v>
      </c>
      <c r="F329" s="152">
        <v>44302</v>
      </c>
      <c r="G329" s="155">
        <f t="shared" si="5"/>
        <v>5679.9775845526665</v>
      </c>
    </row>
    <row r="330" spans="1:7" x14ac:dyDescent="0.3">
      <c r="A330" s="151">
        <v>760199</v>
      </c>
      <c r="B330" s="152">
        <v>44312</v>
      </c>
      <c r="C330" s="153">
        <v>3518.4962839999998</v>
      </c>
      <c r="D330" s="151">
        <v>0.39</v>
      </c>
      <c r="E330" s="151" t="s">
        <v>305</v>
      </c>
      <c r="F330" s="152">
        <v>44302</v>
      </c>
      <c r="G330" s="155">
        <f t="shared" si="5"/>
        <v>5681.0304823594606</v>
      </c>
    </row>
    <row r="331" spans="1:7" x14ac:dyDescent="0.3">
      <c r="A331" s="151">
        <v>760199</v>
      </c>
      <c r="B331" s="152">
        <v>44313</v>
      </c>
      <c r="C331" s="153">
        <v>3519.1485090000001</v>
      </c>
      <c r="D331" s="151">
        <v>0.39</v>
      </c>
      <c r="E331" s="151" t="s">
        <v>305</v>
      </c>
      <c r="F331" s="152">
        <v>44302</v>
      </c>
      <c r="G331" s="155">
        <f t="shared" si="5"/>
        <v>5682.0835771497577</v>
      </c>
    </row>
    <row r="332" spans="1:7" x14ac:dyDescent="0.3">
      <c r="A332" s="151">
        <v>760199</v>
      </c>
      <c r="B332" s="152">
        <v>44314</v>
      </c>
      <c r="C332" s="153">
        <v>3518.4647749999999</v>
      </c>
      <c r="D332" s="151">
        <v>0.28999999999999998</v>
      </c>
      <c r="E332" s="151" t="s">
        <v>305</v>
      </c>
      <c r="F332" s="152">
        <v>44314</v>
      </c>
      <c r="G332" s="155">
        <f t="shared" si="5"/>
        <v>5680.979607333592</v>
      </c>
    </row>
    <row r="333" spans="1:7" x14ac:dyDescent="0.3">
      <c r="A333" s="151">
        <v>760199</v>
      </c>
      <c r="B333" s="152">
        <v>44315</v>
      </c>
      <c r="C333" s="153">
        <v>3518.9499879999998</v>
      </c>
      <c r="D333" s="151">
        <v>0.28999999999999998</v>
      </c>
      <c r="E333" s="151" t="s">
        <v>305</v>
      </c>
      <c r="F333" s="152">
        <v>44314</v>
      </c>
      <c r="G333" s="155">
        <f t="shared" si="5"/>
        <v>5681.7630413977322</v>
      </c>
    </row>
    <row r="334" spans="1:7" x14ac:dyDescent="0.3">
      <c r="A334" s="151">
        <v>760199</v>
      </c>
      <c r="B334" s="152">
        <v>44316</v>
      </c>
      <c r="C334" s="153">
        <v>3519.4352690000001</v>
      </c>
      <c r="D334" s="151">
        <v>0.28999999999999998</v>
      </c>
      <c r="E334" s="151" t="s">
        <v>305</v>
      </c>
      <c r="F334" s="152">
        <v>44314</v>
      </c>
      <c r="G334" s="155">
        <f t="shared" si="5"/>
        <v>5682.5465852559555</v>
      </c>
    </row>
    <row r="335" spans="1:7" x14ac:dyDescent="0.3">
      <c r="A335" s="151">
        <v>760199</v>
      </c>
      <c r="B335" s="152">
        <v>44319</v>
      </c>
      <c r="C335" s="153">
        <v>3519.9206159999999</v>
      </c>
      <c r="D335" s="151">
        <v>0.28999999999999998</v>
      </c>
      <c r="E335" s="151" t="s">
        <v>305</v>
      </c>
      <c r="F335" s="152">
        <v>44314</v>
      </c>
      <c r="G335" s="155">
        <f t="shared" si="5"/>
        <v>5683.3302356790227</v>
      </c>
    </row>
    <row r="336" spans="1:7" x14ac:dyDescent="0.3">
      <c r="A336" s="151">
        <v>760199</v>
      </c>
      <c r="B336" s="152">
        <v>44320</v>
      </c>
      <c r="C336" s="153">
        <v>3520.4060300000001</v>
      </c>
      <c r="D336" s="151">
        <v>0.28999999999999998</v>
      </c>
      <c r="E336" s="151" t="s">
        <v>305</v>
      </c>
      <c r="F336" s="152">
        <v>44314</v>
      </c>
      <c r="G336" s="155">
        <f t="shared" si="5"/>
        <v>5684.1139942815553</v>
      </c>
    </row>
    <row r="337" spans="1:7" x14ac:dyDescent="0.3">
      <c r="A337" s="151">
        <v>760199</v>
      </c>
      <c r="B337" s="152">
        <v>44321</v>
      </c>
      <c r="C337" s="153">
        <v>3520.8915120000001</v>
      </c>
      <c r="D337" s="151">
        <v>0.28999999999999998</v>
      </c>
      <c r="E337" s="151" t="s">
        <v>305</v>
      </c>
      <c r="F337" s="152">
        <v>44314</v>
      </c>
      <c r="G337" s="155">
        <f t="shared" si="5"/>
        <v>5684.8978626781709</v>
      </c>
    </row>
    <row r="338" spans="1:7" x14ac:dyDescent="0.3">
      <c r="A338" s="151">
        <v>760199</v>
      </c>
      <c r="B338" s="152">
        <v>44322</v>
      </c>
      <c r="C338" s="153">
        <v>3521.3770599999998</v>
      </c>
      <c r="D338" s="151">
        <v>0.28999999999999998</v>
      </c>
      <c r="E338" s="151" t="s">
        <v>305</v>
      </c>
      <c r="F338" s="152">
        <v>44314</v>
      </c>
      <c r="G338" s="155">
        <f t="shared" si="5"/>
        <v>5685.6818376396313</v>
      </c>
    </row>
    <row r="339" spans="1:7" x14ac:dyDescent="0.3">
      <c r="A339" s="151">
        <v>760199</v>
      </c>
      <c r="B339" s="152">
        <v>44323</v>
      </c>
      <c r="C339" s="153">
        <v>3521.8626749999999</v>
      </c>
      <c r="D339" s="151">
        <v>0.28999999999999998</v>
      </c>
      <c r="E339" s="151" t="s">
        <v>305</v>
      </c>
      <c r="F339" s="152">
        <v>44314</v>
      </c>
      <c r="G339" s="155">
        <f t="shared" si="5"/>
        <v>5686.4659207805562</v>
      </c>
    </row>
    <row r="340" spans="1:7" x14ac:dyDescent="0.3">
      <c r="A340" s="151">
        <v>760199</v>
      </c>
      <c r="B340" s="152">
        <v>44326</v>
      </c>
      <c r="C340" s="153">
        <v>3522.3483569999999</v>
      </c>
      <c r="D340" s="151">
        <v>0.28999999999999998</v>
      </c>
      <c r="E340" s="151" t="s">
        <v>305</v>
      </c>
      <c r="F340" s="152">
        <v>44314</v>
      </c>
      <c r="G340" s="155">
        <f t="shared" si="5"/>
        <v>5687.2501121009454</v>
      </c>
    </row>
    <row r="341" spans="1:7" x14ac:dyDescent="0.3">
      <c r="A341" s="151">
        <v>760199</v>
      </c>
      <c r="B341" s="152">
        <v>44327</v>
      </c>
      <c r="C341" s="153">
        <v>3523.4019920000001</v>
      </c>
      <c r="D341" s="151">
        <v>0.31</v>
      </c>
      <c r="E341" s="151" t="s">
        <v>9</v>
      </c>
      <c r="F341" s="152">
        <v>44327</v>
      </c>
      <c r="G341" s="155">
        <f t="shared" si="5"/>
        <v>5688.9513310505008</v>
      </c>
    </row>
    <row r="342" spans="1:7" x14ac:dyDescent="0.3">
      <c r="A342" s="151">
        <v>760199</v>
      </c>
      <c r="B342" s="152">
        <v>44328</v>
      </c>
      <c r="C342" s="153">
        <v>3523.9212990000001</v>
      </c>
      <c r="D342" s="151">
        <v>0.31</v>
      </c>
      <c r="E342" s="151" t="s">
        <v>9</v>
      </c>
      <c r="F342" s="152">
        <v>44327</v>
      </c>
      <c r="G342" s="155">
        <f t="shared" si="5"/>
        <v>5689.7898139302815</v>
      </c>
    </row>
    <row r="343" spans="1:7" x14ac:dyDescent="0.3">
      <c r="A343" s="151">
        <v>760199</v>
      </c>
      <c r="B343" s="152">
        <v>44329</v>
      </c>
      <c r="C343" s="153">
        <v>3524.4406819999999</v>
      </c>
      <c r="D343" s="151">
        <v>0.31</v>
      </c>
      <c r="E343" s="151" t="s">
        <v>9</v>
      </c>
      <c r="F343" s="152">
        <v>44327</v>
      </c>
      <c r="G343" s="155">
        <f t="shared" si="5"/>
        <v>5690.6284195210947</v>
      </c>
    </row>
    <row r="344" spans="1:7" x14ac:dyDescent="0.3">
      <c r="A344" s="151">
        <v>760199</v>
      </c>
      <c r="B344" s="152">
        <v>44330</v>
      </c>
      <c r="C344" s="153">
        <v>3524.9601419999999</v>
      </c>
      <c r="D344" s="151">
        <v>0.31</v>
      </c>
      <c r="E344" s="151" t="s">
        <v>9</v>
      </c>
      <c r="F344" s="152">
        <v>44327</v>
      </c>
      <c r="G344" s="155">
        <f t="shared" si="5"/>
        <v>5691.4671494375607</v>
      </c>
    </row>
    <row r="345" spans="1:7" x14ac:dyDescent="0.3">
      <c r="A345" s="151">
        <v>760199</v>
      </c>
      <c r="B345" s="152">
        <v>44333</v>
      </c>
      <c r="C345" s="153">
        <v>3525.479679</v>
      </c>
      <c r="D345" s="151">
        <v>0.31</v>
      </c>
      <c r="E345" s="151" t="s">
        <v>9</v>
      </c>
      <c r="F345" s="152">
        <v>44327</v>
      </c>
      <c r="G345" s="155">
        <f t="shared" si="5"/>
        <v>5692.3060036796805</v>
      </c>
    </row>
    <row r="346" spans="1:7" x14ac:dyDescent="0.3">
      <c r="A346" s="151">
        <v>760199</v>
      </c>
      <c r="B346" s="152">
        <v>44334</v>
      </c>
      <c r="C346" s="153">
        <v>3526.7095119999999</v>
      </c>
      <c r="D346" s="151">
        <v>0.7</v>
      </c>
      <c r="E346" s="151" t="s">
        <v>305</v>
      </c>
      <c r="F346" s="152">
        <v>44334</v>
      </c>
      <c r="G346" s="155">
        <f t="shared" si="5"/>
        <v>5694.2917152442997</v>
      </c>
    </row>
    <row r="347" spans="1:7" x14ac:dyDescent="0.3">
      <c r="A347" s="151">
        <v>760199</v>
      </c>
      <c r="B347" s="152">
        <v>44335</v>
      </c>
      <c r="C347" s="153">
        <v>3527.9397749999998</v>
      </c>
      <c r="D347" s="151">
        <v>0.7</v>
      </c>
      <c r="E347" s="151" t="s">
        <v>305</v>
      </c>
      <c r="F347" s="152">
        <v>44334</v>
      </c>
      <c r="G347" s="155">
        <f t="shared" si="5"/>
        <v>5696.2781210950316</v>
      </c>
    </row>
    <row r="348" spans="1:7" x14ac:dyDescent="0.3">
      <c r="A348" s="151">
        <v>760199</v>
      </c>
      <c r="B348" s="152">
        <v>44336</v>
      </c>
      <c r="C348" s="153">
        <v>3529.1704669999999</v>
      </c>
      <c r="D348" s="151">
        <v>0.7</v>
      </c>
      <c r="E348" s="151" t="s">
        <v>305</v>
      </c>
      <c r="F348" s="152">
        <v>44334</v>
      </c>
      <c r="G348" s="155">
        <f t="shared" si="5"/>
        <v>5698.2652196172585</v>
      </c>
    </row>
    <row r="349" spans="1:7" x14ac:dyDescent="0.3">
      <c r="A349" s="151">
        <v>760199</v>
      </c>
      <c r="B349" s="152">
        <v>44337</v>
      </c>
      <c r="C349" s="153">
        <v>3530.4015880000002</v>
      </c>
      <c r="D349" s="151">
        <v>0.7</v>
      </c>
      <c r="E349" s="151" t="s">
        <v>305</v>
      </c>
      <c r="F349" s="152">
        <v>44334</v>
      </c>
      <c r="G349" s="155">
        <f t="shared" si="5"/>
        <v>5700.2530108109795</v>
      </c>
    </row>
    <row r="350" spans="1:7" x14ac:dyDescent="0.3">
      <c r="A350" s="151">
        <v>760199</v>
      </c>
      <c r="B350" s="152">
        <v>44340</v>
      </c>
      <c r="C350" s="153">
        <v>3531.633139</v>
      </c>
      <c r="D350" s="151">
        <v>0.7</v>
      </c>
      <c r="E350" s="151" t="s">
        <v>305</v>
      </c>
      <c r="F350" s="152">
        <v>44334</v>
      </c>
      <c r="G350" s="155">
        <f t="shared" si="5"/>
        <v>5702.2414962908124</v>
      </c>
    </row>
    <row r="351" spans="1:7" x14ac:dyDescent="0.3">
      <c r="A351" s="151">
        <v>760199</v>
      </c>
      <c r="B351" s="152">
        <v>44341</v>
      </c>
      <c r="C351" s="153">
        <v>3532.865119</v>
      </c>
      <c r="D351" s="151">
        <v>0.7</v>
      </c>
      <c r="E351" s="151" t="s">
        <v>305</v>
      </c>
      <c r="F351" s="152">
        <v>44334</v>
      </c>
      <c r="G351" s="155">
        <f t="shared" si="5"/>
        <v>5704.2306744421394</v>
      </c>
    </row>
    <row r="352" spans="1:7" x14ac:dyDescent="0.3">
      <c r="A352" s="151">
        <v>760199</v>
      </c>
      <c r="B352" s="152">
        <v>44342</v>
      </c>
      <c r="C352" s="153">
        <v>3534.220358</v>
      </c>
      <c r="D352" s="151">
        <v>0.71</v>
      </c>
      <c r="E352" s="151" t="s">
        <v>305</v>
      </c>
      <c r="F352" s="152">
        <v>44342</v>
      </c>
      <c r="G352" s="155">
        <f t="shared" si="5"/>
        <v>5706.4188689003495</v>
      </c>
    </row>
    <row r="353" spans="1:7" x14ac:dyDescent="0.3">
      <c r="A353" s="151">
        <v>760199</v>
      </c>
      <c r="B353" s="152">
        <v>44343</v>
      </c>
      <c r="C353" s="153">
        <v>3535.4707950000002</v>
      </c>
      <c r="D353" s="151">
        <v>0.71</v>
      </c>
      <c r="E353" s="151" t="s">
        <v>305</v>
      </c>
      <c r="F353" s="152">
        <v>44342</v>
      </c>
      <c r="G353" s="155">
        <f t="shared" si="5"/>
        <v>5708.4378480720979</v>
      </c>
    </row>
    <row r="354" spans="1:7" x14ac:dyDescent="0.3">
      <c r="A354" s="151">
        <v>760199</v>
      </c>
      <c r="B354" s="152">
        <v>44344</v>
      </c>
      <c r="C354" s="153">
        <v>3536.7216739999999</v>
      </c>
      <c r="D354" s="151">
        <v>0.71</v>
      </c>
      <c r="E354" s="151" t="s">
        <v>305</v>
      </c>
      <c r="F354" s="152">
        <v>44342</v>
      </c>
      <c r="G354" s="155">
        <f t="shared" si="5"/>
        <v>5710.457540905385</v>
      </c>
    </row>
    <row r="355" spans="1:7" x14ac:dyDescent="0.3">
      <c r="A355" s="151">
        <v>760199</v>
      </c>
      <c r="B355" s="152">
        <v>44347</v>
      </c>
      <c r="C355" s="153">
        <v>3537.9729950000001</v>
      </c>
      <c r="D355" s="151">
        <v>0.71</v>
      </c>
      <c r="E355" s="151" t="s">
        <v>305</v>
      </c>
      <c r="F355" s="152">
        <v>44342</v>
      </c>
      <c r="G355" s="155">
        <f t="shared" si="5"/>
        <v>5712.4779474002116</v>
      </c>
    </row>
    <row r="356" spans="1:7" x14ac:dyDescent="0.3">
      <c r="A356" s="151">
        <v>760199</v>
      </c>
      <c r="B356" s="152">
        <v>44348</v>
      </c>
      <c r="C356" s="153">
        <v>3539.2247590000002</v>
      </c>
      <c r="D356" s="151">
        <v>0.71</v>
      </c>
      <c r="E356" s="151" t="s">
        <v>305</v>
      </c>
      <c r="F356" s="152">
        <v>44342</v>
      </c>
      <c r="G356" s="155">
        <f t="shared" si="5"/>
        <v>5714.4990691711964</v>
      </c>
    </row>
    <row r="357" spans="1:7" x14ac:dyDescent="0.3">
      <c r="A357" s="151">
        <v>760199</v>
      </c>
      <c r="B357" s="152">
        <v>44349</v>
      </c>
      <c r="C357" s="153">
        <v>3540.4769660000002</v>
      </c>
      <c r="D357" s="151">
        <v>0.71</v>
      </c>
      <c r="E357" s="151" t="s">
        <v>305</v>
      </c>
      <c r="F357" s="152">
        <v>44342</v>
      </c>
      <c r="G357" s="155">
        <f t="shared" si="5"/>
        <v>5716.5209062183385</v>
      </c>
    </row>
    <row r="358" spans="1:7" x14ac:dyDescent="0.3">
      <c r="A358" s="151">
        <v>760199</v>
      </c>
      <c r="B358" s="152">
        <v>44351</v>
      </c>
      <c r="C358" s="153">
        <v>3541.7296160000001</v>
      </c>
      <c r="D358" s="151">
        <v>0.71</v>
      </c>
      <c r="E358" s="151" t="s">
        <v>305</v>
      </c>
      <c r="F358" s="152">
        <v>44342</v>
      </c>
      <c r="G358" s="155">
        <f t="shared" si="5"/>
        <v>5718.5434585416378</v>
      </c>
    </row>
    <row r="359" spans="1:7" x14ac:dyDescent="0.3">
      <c r="A359" s="151">
        <v>760199</v>
      </c>
      <c r="B359" s="152">
        <v>44354</v>
      </c>
      <c r="C359" s="153">
        <v>3542.9827089999999</v>
      </c>
      <c r="D359" s="151">
        <v>0.71</v>
      </c>
      <c r="E359" s="151" t="s">
        <v>305</v>
      </c>
      <c r="F359" s="152">
        <v>44342</v>
      </c>
      <c r="G359" s="155">
        <f t="shared" si="5"/>
        <v>5720.5667261410954</v>
      </c>
    </row>
    <row r="360" spans="1:7" x14ac:dyDescent="0.3">
      <c r="A360" s="151">
        <v>760199</v>
      </c>
      <c r="B360" s="152">
        <v>44355</v>
      </c>
      <c r="C360" s="153">
        <v>3544.2362459999999</v>
      </c>
      <c r="D360" s="151">
        <v>0.71</v>
      </c>
      <c r="E360" s="151" t="s">
        <v>305</v>
      </c>
      <c r="F360" s="152">
        <v>44342</v>
      </c>
      <c r="G360" s="155">
        <f t="shared" si="5"/>
        <v>5722.5907106313307</v>
      </c>
    </row>
    <row r="361" spans="1:7" x14ac:dyDescent="0.3">
      <c r="A361" s="151">
        <v>760199</v>
      </c>
      <c r="B361" s="152">
        <v>44356</v>
      </c>
      <c r="C361" s="153">
        <v>3548.8713910000001</v>
      </c>
      <c r="D361" s="151">
        <v>0.83</v>
      </c>
      <c r="E361" s="151" t="s">
        <v>9</v>
      </c>
      <c r="F361" s="152">
        <v>44356</v>
      </c>
      <c r="G361" s="155">
        <f t="shared" si="5"/>
        <v>5730.0747031979572</v>
      </c>
    </row>
    <row r="362" spans="1:7" x14ac:dyDescent="0.3">
      <c r="A362" s="151">
        <v>760199</v>
      </c>
      <c r="B362" s="152">
        <v>44357</v>
      </c>
      <c r="C362" s="153">
        <v>3550.3385159999998</v>
      </c>
      <c r="D362" s="151">
        <v>0.83</v>
      </c>
      <c r="E362" s="151" t="s">
        <v>9</v>
      </c>
      <c r="F362" s="152">
        <v>44356</v>
      </c>
      <c r="G362" s="155">
        <f t="shared" si="5"/>
        <v>5732.4435509026807</v>
      </c>
    </row>
    <row r="363" spans="1:7" x14ac:dyDescent="0.3">
      <c r="A363" s="151">
        <v>760199</v>
      </c>
      <c r="B363" s="152">
        <v>44358</v>
      </c>
      <c r="C363" s="153">
        <v>3551.806247</v>
      </c>
      <c r="D363" s="151">
        <v>0.83</v>
      </c>
      <c r="E363" s="151" t="s">
        <v>9</v>
      </c>
      <c r="F363" s="152">
        <v>44356</v>
      </c>
      <c r="G363" s="155">
        <f t="shared" si="5"/>
        <v>5734.8133770664372</v>
      </c>
    </row>
    <row r="364" spans="1:7" x14ac:dyDescent="0.3">
      <c r="A364" s="151">
        <v>760199</v>
      </c>
      <c r="B364" s="152">
        <v>44361</v>
      </c>
      <c r="C364" s="153">
        <v>3553.2745850000001</v>
      </c>
      <c r="D364" s="151">
        <v>0.83</v>
      </c>
      <c r="E364" s="151" t="s">
        <v>9</v>
      </c>
      <c r="F364" s="152">
        <v>44356</v>
      </c>
      <c r="G364" s="155">
        <f t="shared" si="5"/>
        <v>5737.1841833038461</v>
      </c>
    </row>
    <row r="365" spans="1:7" x14ac:dyDescent="0.3">
      <c r="A365" s="151">
        <v>760199</v>
      </c>
      <c r="B365" s="152">
        <v>44362</v>
      </c>
      <c r="C365" s="153">
        <v>3554.7435300000002</v>
      </c>
      <c r="D365" s="151">
        <v>0.83</v>
      </c>
      <c r="E365" s="151" t="s">
        <v>9</v>
      </c>
      <c r="F365" s="152">
        <v>44356</v>
      </c>
      <c r="G365" s="155">
        <f t="shared" si="5"/>
        <v>5739.5559696149066</v>
      </c>
    </row>
    <row r="366" spans="1:7" x14ac:dyDescent="0.3">
      <c r="A366" s="151">
        <v>760199</v>
      </c>
      <c r="B366" s="152">
        <v>44363</v>
      </c>
      <c r="C366" s="153">
        <v>3555.6459639999998</v>
      </c>
      <c r="D366" s="151">
        <v>0.56000000000000005</v>
      </c>
      <c r="E366" s="151" t="s">
        <v>305</v>
      </c>
      <c r="F366" s="152">
        <v>44363</v>
      </c>
      <c r="G366" s="155">
        <f t="shared" si="5"/>
        <v>5741.013056577207</v>
      </c>
    </row>
    <row r="367" spans="1:7" x14ac:dyDescent="0.3">
      <c r="A367" s="151">
        <v>760199</v>
      </c>
      <c r="B367" s="152">
        <v>44364</v>
      </c>
      <c r="C367" s="153">
        <v>3556.5486270000001</v>
      </c>
      <c r="D367" s="151">
        <v>0.56000000000000005</v>
      </c>
      <c r="E367" s="151" t="s">
        <v>305</v>
      </c>
      <c r="F367" s="152">
        <v>44363</v>
      </c>
      <c r="G367" s="155">
        <f t="shared" si="5"/>
        <v>5742.4705132872286</v>
      </c>
    </row>
    <row r="368" spans="1:7" x14ac:dyDescent="0.3">
      <c r="A368" s="151">
        <v>760199</v>
      </c>
      <c r="B368" s="152">
        <v>44365</v>
      </c>
      <c r="C368" s="153">
        <v>3557.4515190000002</v>
      </c>
      <c r="D368" s="151">
        <v>0.56000000000000005</v>
      </c>
      <c r="E368" s="151" t="s">
        <v>305</v>
      </c>
      <c r="F368" s="152">
        <v>44363</v>
      </c>
      <c r="G368" s="155">
        <f t="shared" si="5"/>
        <v>5743.9283397449699</v>
      </c>
    </row>
    <row r="369" spans="1:7" x14ac:dyDescent="0.3">
      <c r="A369" s="151">
        <v>760199</v>
      </c>
      <c r="B369" s="152">
        <v>44368</v>
      </c>
      <c r="C369" s="153">
        <v>3558.3546409999999</v>
      </c>
      <c r="D369" s="151">
        <v>0.56000000000000005</v>
      </c>
      <c r="E369" s="151" t="s">
        <v>305</v>
      </c>
      <c r="F369" s="152">
        <v>44363</v>
      </c>
      <c r="G369" s="155">
        <f t="shared" si="5"/>
        <v>5745.3865375650494</v>
      </c>
    </row>
    <row r="370" spans="1:7" x14ac:dyDescent="0.3">
      <c r="A370" s="151">
        <v>760199</v>
      </c>
      <c r="B370" s="152">
        <v>44369</v>
      </c>
      <c r="C370" s="153">
        <v>3559.2579919999998</v>
      </c>
      <c r="D370" s="151">
        <v>0.56000000000000005</v>
      </c>
      <c r="E370" s="151" t="s">
        <v>305</v>
      </c>
      <c r="F370" s="152">
        <v>44363</v>
      </c>
      <c r="G370" s="155">
        <f t="shared" si="5"/>
        <v>5746.8451051328493</v>
      </c>
    </row>
    <row r="371" spans="1:7" x14ac:dyDescent="0.3">
      <c r="A371" s="151">
        <v>760199</v>
      </c>
      <c r="B371" s="152">
        <v>44370</v>
      </c>
      <c r="C371" s="153">
        <v>3560.161572</v>
      </c>
      <c r="D371" s="151">
        <v>0.56000000000000005</v>
      </c>
      <c r="E371" s="151" t="s">
        <v>305</v>
      </c>
      <c r="F371" s="152">
        <v>44363</v>
      </c>
      <c r="G371" s="155">
        <f t="shared" si="5"/>
        <v>5748.3040424483706</v>
      </c>
    </row>
    <row r="372" spans="1:7" x14ac:dyDescent="0.3">
      <c r="A372" s="151">
        <v>760199</v>
      </c>
      <c r="B372" s="152">
        <v>44371</v>
      </c>
      <c r="C372" s="153">
        <v>3561.0653820000002</v>
      </c>
      <c r="D372" s="151">
        <v>0.56000000000000005</v>
      </c>
      <c r="E372" s="151" t="s">
        <v>305</v>
      </c>
      <c r="F372" s="152">
        <v>44363</v>
      </c>
      <c r="G372" s="155">
        <f t="shared" si="5"/>
        <v>5749.7633511262311</v>
      </c>
    </row>
    <row r="373" spans="1:7" x14ac:dyDescent="0.3">
      <c r="A373" s="151">
        <v>760199</v>
      </c>
      <c r="B373" s="152">
        <v>44372</v>
      </c>
      <c r="C373" s="153">
        <v>3561.9694209999998</v>
      </c>
      <c r="D373" s="151">
        <v>0.56000000000000005</v>
      </c>
      <c r="E373" s="151" t="s">
        <v>305</v>
      </c>
      <c r="F373" s="152">
        <v>44363</v>
      </c>
      <c r="G373" s="155">
        <f t="shared" si="5"/>
        <v>5751.2230295518111</v>
      </c>
    </row>
    <row r="374" spans="1:7" x14ac:dyDescent="0.3">
      <c r="A374" s="151">
        <v>760199</v>
      </c>
      <c r="B374" s="152">
        <v>44375</v>
      </c>
      <c r="C374" s="153">
        <v>3563.1635569999999</v>
      </c>
      <c r="D374" s="151">
        <v>0.57999999999999996</v>
      </c>
      <c r="E374" s="151" t="s">
        <v>305</v>
      </c>
      <c r="F374" s="152">
        <v>44375</v>
      </c>
      <c r="G374" s="155">
        <f t="shared" si="5"/>
        <v>5753.1511040667483</v>
      </c>
    </row>
    <row r="375" spans="1:7" x14ac:dyDescent="0.3">
      <c r="A375" s="151">
        <v>760199</v>
      </c>
      <c r="B375" s="152">
        <v>44376</v>
      </c>
      <c r="C375" s="153">
        <v>3564.1003460000002</v>
      </c>
      <c r="D375" s="151">
        <v>0.57999999999999996</v>
      </c>
      <c r="E375" s="151" t="s">
        <v>305</v>
      </c>
      <c r="F375" s="152">
        <v>44375</v>
      </c>
      <c r="G375" s="155">
        <f t="shared" si="5"/>
        <v>5754.6636612602115</v>
      </c>
    </row>
    <row r="376" spans="1:7" x14ac:dyDescent="0.3">
      <c r="A376" s="151">
        <v>760199</v>
      </c>
      <c r="B376" s="152">
        <v>44377</v>
      </c>
      <c r="C376" s="153">
        <v>3565.0373810000001</v>
      </c>
      <c r="D376" s="151">
        <v>0.57999999999999996</v>
      </c>
      <c r="E376" s="151" t="s">
        <v>305</v>
      </c>
      <c r="F376" s="152">
        <v>44375</v>
      </c>
      <c r="G376" s="155">
        <f t="shared" si="5"/>
        <v>5756.1766156499161</v>
      </c>
    </row>
    <row r="377" spans="1:7" x14ac:dyDescent="0.3">
      <c r="A377" s="151">
        <v>760199</v>
      </c>
      <c r="B377" s="152">
        <v>44378</v>
      </c>
      <c r="C377" s="153">
        <v>3565.974663</v>
      </c>
      <c r="D377" s="151">
        <v>0.57999999999999996</v>
      </c>
      <c r="E377" s="151" t="s">
        <v>305</v>
      </c>
      <c r="F377" s="152">
        <v>44375</v>
      </c>
      <c r="G377" s="155">
        <f t="shared" si="5"/>
        <v>5757.68996885048</v>
      </c>
    </row>
    <row r="378" spans="1:7" x14ac:dyDescent="0.3">
      <c r="A378" s="151">
        <v>760199</v>
      </c>
      <c r="B378" s="152">
        <v>44379</v>
      </c>
      <c r="C378" s="153">
        <v>3566.9121909999999</v>
      </c>
      <c r="D378" s="151">
        <v>0.57999999999999996</v>
      </c>
      <c r="E378" s="151" t="s">
        <v>305</v>
      </c>
      <c r="F378" s="152">
        <v>44375</v>
      </c>
      <c r="G378" s="155">
        <f t="shared" si="5"/>
        <v>5759.2037192472862</v>
      </c>
    </row>
    <row r="379" spans="1:7" x14ac:dyDescent="0.3">
      <c r="A379" s="151">
        <v>760199</v>
      </c>
      <c r="B379" s="152">
        <v>44382</v>
      </c>
      <c r="C379" s="153">
        <v>3567.8499649999999</v>
      </c>
      <c r="D379" s="151">
        <v>0.57999999999999996</v>
      </c>
      <c r="E379" s="151" t="s">
        <v>305</v>
      </c>
      <c r="F379" s="152">
        <v>44375</v>
      </c>
      <c r="G379" s="155">
        <f t="shared" si="5"/>
        <v>5760.717866840334</v>
      </c>
    </row>
    <row r="380" spans="1:7" x14ac:dyDescent="0.3">
      <c r="A380" s="151">
        <v>760199</v>
      </c>
      <c r="B380" s="152">
        <v>44383</v>
      </c>
      <c r="C380" s="153">
        <v>3568.7879859999998</v>
      </c>
      <c r="D380" s="151">
        <v>0.57999999999999996</v>
      </c>
      <c r="E380" s="151" t="s">
        <v>305</v>
      </c>
      <c r="F380" s="152">
        <v>44375</v>
      </c>
      <c r="G380" s="155">
        <f t="shared" si="5"/>
        <v>5762.2324132442418</v>
      </c>
    </row>
    <row r="381" spans="1:7" x14ac:dyDescent="0.3">
      <c r="A381" s="151">
        <v>760199</v>
      </c>
      <c r="B381" s="152">
        <v>44384</v>
      </c>
      <c r="C381" s="153">
        <v>3569.7262540000002</v>
      </c>
      <c r="D381" s="151">
        <v>0.57999999999999996</v>
      </c>
      <c r="E381" s="151" t="s">
        <v>305</v>
      </c>
      <c r="F381" s="152">
        <v>44375</v>
      </c>
      <c r="G381" s="155">
        <f t="shared" si="5"/>
        <v>5763.7473584590098</v>
      </c>
    </row>
    <row r="382" spans="1:7" x14ac:dyDescent="0.3">
      <c r="A382" s="151">
        <v>760199</v>
      </c>
      <c r="B382" s="152">
        <v>44385</v>
      </c>
      <c r="C382" s="153">
        <v>3569.2932300000002</v>
      </c>
      <c r="D382" s="151">
        <v>0.53</v>
      </c>
      <c r="E382" s="151" t="s">
        <v>9</v>
      </c>
      <c r="F382" s="152">
        <v>44385</v>
      </c>
      <c r="G382" s="155">
        <f t="shared" si="5"/>
        <v>5763.0481897389009</v>
      </c>
    </row>
    <row r="383" spans="1:7" x14ac:dyDescent="0.3">
      <c r="A383" s="151">
        <v>760199</v>
      </c>
      <c r="B383" s="152">
        <v>44386</v>
      </c>
      <c r="C383" s="153">
        <v>3570.1509470000001</v>
      </c>
      <c r="D383" s="151">
        <v>0.53</v>
      </c>
      <c r="E383" s="151" t="s">
        <v>9</v>
      </c>
      <c r="F383" s="152">
        <v>44385</v>
      </c>
      <c r="G383" s="155">
        <f t="shared" si="5"/>
        <v>5764.4330757893404</v>
      </c>
    </row>
    <row r="384" spans="1:7" x14ac:dyDescent="0.3">
      <c r="A384" s="151">
        <v>760199</v>
      </c>
      <c r="B384" s="152">
        <v>44389</v>
      </c>
      <c r="C384" s="153">
        <v>3571.0088700000001</v>
      </c>
      <c r="D384" s="151">
        <v>0.53</v>
      </c>
      <c r="E384" s="151" t="s">
        <v>9</v>
      </c>
      <c r="F384" s="152">
        <v>44385</v>
      </c>
      <c r="G384" s="155">
        <f t="shared" si="5"/>
        <v>5765.8182944512673</v>
      </c>
    </row>
    <row r="385" spans="1:7" x14ac:dyDescent="0.3">
      <c r="A385" s="151">
        <v>760199</v>
      </c>
      <c r="B385" s="152">
        <v>44390</v>
      </c>
      <c r="C385" s="153">
        <v>3571.8669989999999</v>
      </c>
      <c r="D385" s="151">
        <v>0.53</v>
      </c>
      <c r="E385" s="151" t="s">
        <v>9</v>
      </c>
      <c r="F385" s="152">
        <v>44385</v>
      </c>
      <c r="G385" s="155">
        <f t="shared" si="5"/>
        <v>5767.2038457246808</v>
      </c>
    </row>
    <row r="386" spans="1:7" x14ac:dyDescent="0.3">
      <c r="A386" s="151">
        <v>760199</v>
      </c>
      <c r="B386" s="152">
        <v>44391</v>
      </c>
      <c r="C386" s="153">
        <v>3572.7253340000002</v>
      </c>
      <c r="D386" s="151">
        <v>0.53</v>
      </c>
      <c r="E386" s="151" t="s">
        <v>9</v>
      </c>
      <c r="F386" s="152">
        <v>44385</v>
      </c>
      <c r="G386" s="155">
        <f t="shared" si="5"/>
        <v>5768.5897296095809</v>
      </c>
    </row>
    <row r="387" spans="1:7" x14ac:dyDescent="0.3">
      <c r="A387" s="151">
        <v>760199</v>
      </c>
      <c r="B387" s="152">
        <v>44392</v>
      </c>
      <c r="C387" s="153">
        <v>3573.583877</v>
      </c>
      <c r="D387" s="151">
        <v>0.53</v>
      </c>
      <c r="E387" s="151" t="s">
        <v>9</v>
      </c>
      <c r="F387" s="152">
        <v>44385</v>
      </c>
      <c r="G387" s="155">
        <f t="shared" si="5"/>
        <v>5769.9759493352049</v>
      </c>
    </row>
    <row r="388" spans="1:7" x14ac:dyDescent="0.3">
      <c r="A388" s="151">
        <v>760199</v>
      </c>
      <c r="B388" s="152">
        <v>44393</v>
      </c>
      <c r="C388" s="153">
        <v>3574.8461820000002</v>
      </c>
      <c r="D388" s="151">
        <v>0.78</v>
      </c>
      <c r="E388" s="151" t="s">
        <v>305</v>
      </c>
      <c r="F388" s="152">
        <v>44393</v>
      </c>
      <c r="G388" s="155">
        <f t="shared" si="5"/>
        <v>5772.0140908036619</v>
      </c>
    </row>
    <row r="389" spans="1:7" x14ac:dyDescent="0.3">
      <c r="A389" s="151">
        <v>760199</v>
      </c>
      <c r="B389" s="152">
        <v>44396</v>
      </c>
      <c r="C389" s="153">
        <v>3576.108933</v>
      </c>
      <c r="D389" s="151">
        <v>0.78</v>
      </c>
      <c r="E389" s="151" t="s">
        <v>305</v>
      </c>
      <c r="F389" s="152">
        <v>44393</v>
      </c>
      <c r="G389" s="155">
        <f t="shared" ref="G389:G452" si="6">+C389/C388*G388</f>
        <v>5774.0529523921341</v>
      </c>
    </row>
    <row r="390" spans="1:7" x14ac:dyDescent="0.3">
      <c r="A390" s="151">
        <v>760199</v>
      </c>
      <c r="B390" s="152">
        <v>44397</v>
      </c>
      <c r="C390" s="153">
        <v>3577.3721300000002</v>
      </c>
      <c r="D390" s="151">
        <v>0.78</v>
      </c>
      <c r="E390" s="151" t="s">
        <v>305</v>
      </c>
      <c r="F390" s="152">
        <v>44393</v>
      </c>
      <c r="G390" s="155">
        <f t="shared" si="6"/>
        <v>5776.0925341006214</v>
      </c>
    </row>
    <row r="391" spans="1:7" x14ac:dyDescent="0.3">
      <c r="A391" s="151">
        <v>760199</v>
      </c>
      <c r="B391" s="152">
        <v>44398</v>
      </c>
      <c r="C391" s="153">
        <v>3578.635773</v>
      </c>
      <c r="D391" s="151">
        <v>0.78</v>
      </c>
      <c r="E391" s="151" t="s">
        <v>305</v>
      </c>
      <c r="F391" s="152">
        <v>44393</v>
      </c>
      <c r="G391" s="155">
        <f t="shared" si="6"/>
        <v>5778.1328359291228</v>
      </c>
    </row>
    <row r="392" spans="1:7" x14ac:dyDescent="0.3">
      <c r="A392" s="151">
        <v>760199</v>
      </c>
      <c r="B392" s="152">
        <v>44399</v>
      </c>
      <c r="C392" s="153">
        <v>3579.8998620000002</v>
      </c>
      <c r="D392" s="151">
        <v>0.78</v>
      </c>
      <c r="E392" s="151" t="s">
        <v>305</v>
      </c>
      <c r="F392" s="152">
        <v>44393</v>
      </c>
      <c r="G392" s="155">
        <f t="shared" si="6"/>
        <v>5780.1738578776385</v>
      </c>
    </row>
    <row r="393" spans="1:7" x14ac:dyDescent="0.3">
      <c r="A393" s="151">
        <v>760199</v>
      </c>
      <c r="B393" s="152">
        <v>44400</v>
      </c>
      <c r="C393" s="153">
        <v>3581.1643979999999</v>
      </c>
      <c r="D393" s="151">
        <v>0.78</v>
      </c>
      <c r="E393" s="151" t="s">
        <v>305</v>
      </c>
      <c r="F393" s="152">
        <v>44393</v>
      </c>
      <c r="G393" s="155">
        <f t="shared" si="6"/>
        <v>5782.215601560787</v>
      </c>
    </row>
    <row r="394" spans="1:7" x14ac:dyDescent="0.3">
      <c r="A394" s="151">
        <v>760199</v>
      </c>
      <c r="B394" s="152">
        <v>44403</v>
      </c>
      <c r="C394" s="153">
        <v>3584.1250839999998</v>
      </c>
      <c r="D394" s="151">
        <v>0.93</v>
      </c>
      <c r="E394" s="151" t="s">
        <v>305</v>
      </c>
      <c r="F394" s="152">
        <v>44403</v>
      </c>
      <c r="G394" s="155">
        <f t="shared" si="6"/>
        <v>5786.9959810345918</v>
      </c>
    </row>
    <row r="395" spans="1:7" x14ac:dyDescent="0.3">
      <c r="A395" s="151">
        <v>760199</v>
      </c>
      <c r="B395" s="152">
        <v>44404</v>
      </c>
      <c r="C395" s="153">
        <v>3585.6335060000001</v>
      </c>
      <c r="D395" s="151">
        <v>0.93</v>
      </c>
      <c r="E395" s="151" t="s">
        <v>305</v>
      </c>
      <c r="F395" s="152">
        <v>44403</v>
      </c>
      <c r="G395" s="155">
        <f t="shared" si="6"/>
        <v>5789.4315076546518</v>
      </c>
    </row>
    <row r="396" spans="1:7" x14ac:dyDescent="0.3">
      <c r="A396" s="151">
        <v>760199</v>
      </c>
      <c r="B396" s="152">
        <v>44405</v>
      </c>
      <c r="C396" s="153">
        <v>3587.1425640000002</v>
      </c>
      <c r="D396" s="151">
        <v>0.93</v>
      </c>
      <c r="E396" s="151" t="s">
        <v>305</v>
      </c>
      <c r="F396" s="152">
        <v>44403</v>
      </c>
      <c r="G396" s="155">
        <f t="shared" si="6"/>
        <v>5791.8680611723103</v>
      </c>
    </row>
    <row r="397" spans="1:7" x14ac:dyDescent="0.3">
      <c r="A397" s="151">
        <v>760199</v>
      </c>
      <c r="B397" s="152">
        <v>44406</v>
      </c>
      <c r="C397" s="153">
        <v>3588.6522570000002</v>
      </c>
      <c r="D397" s="151">
        <v>0.93</v>
      </c>
      <c r="E397" s="151" t="s">
        <v>305</v>
      </c>
      <c r="F397" s="152">
        <v>44403</v>
      </c>
      <c r="G397" s="155">
        <f t="shared" si="6"/>
        <v>5794.3056399729494</v>
      </c>
    </row>
    <row r="398" spans="1:7" x14ac:dyDescent="0.3">
      <c r="A398" s="151">
        <v>760199</v>
      </c>
      <c r="B398" s="152">
        <v>44407</v>
      </c>
      <c r="C398" s="153">
        <v>3590.162585</v>
      </c>
      <c r="D398" s="151">
        <v>0.93</v>
      </c>
      <c r="E398" s="151" t="s">
        <v>305</v>
      </c>
      <c r="F398" s="152">
        <v>44403</v>
      </c>
      <c r="G398" s="155">
        <f t="shared" si="6"/>
        <v>5796.7442440565683</v>
      </c>
    </row>
    <row r="399" spans="1:7" x14ac:dyDescent="0.3">
      <c r="A399" s="151">
        <v>760199</v>
      </c>
      <c r="B399" s="152">
        <v>44410</v>
      </c>
      <c r="C399" s="153">
        <v>3591.6735490000001</v>
      </c>
      <c r="D399" s="151">
        <v>0.93</v>
      </c>
      <c r="E399" s="151" t="s">
        <v>305</v>
      </c>
      <c r="F399" s="152">
        <v>44403</v>
      </c>
      <c r="G399" s="155">
        <f t="shared" si="6"/>
        <v>5799.1838750377865</v>
      </c>
    </row>
    <row r="400" spans="1:7" x14ac:dyDescent="0.3">
      <c r="A400" s="151">
        <v>760199</v>
      </c>
      <c r="B400" s="152">
        <v>44411</v>
      </c>
      <c r="C400" s="153">
        <v>3593.1851489999999</v>
      </c>
      <c r="D400" s="151">
        <v>0.93</v>
      </c>
      <c r="E400" s="151" t="s">
        <v>305</v>
      </c>
      <c r="F400" s="152">
        <v>44403</v>
      </c>
      <c r="G400" s="155">
        <f t="shared" si="6"/>
        <v>5801.624532916604</v>
      </c>
    </row>
    <row r="401" spans="1:7" x14ac:dyDescent="0.3">
      <c r="A401" s="151">
        <v>760199</v>
      </c>
      <c r="B401" s="152">
        <v>44412</v>
      </c>
      <c r="C401" s="153">
        <v>3594.6973849999999</v>
      </c>
      <c r="D401" s="151">
        <v>0.93</v>
      </c>
      <c r="E401" s="151" t="s">
        <v>305</v>
      </c>
      <c r="F401" s="152">
        <v>44403</v>
      </c>
      <c r="G401" s="155">
        <f t="shared" si="6"/>
        <v>5804.0662176930209</v>
      </c>
    </row>
    <row r="402" spans="1:7" x14ac:dyDescent="0.3">
      <c r="A402" s="151">
        <v>760199</v>
      </c>
      <c r="B402" s="152">
        <v>44413</v>
      </c>
      <c r="C402" s="153">
        <v>3596.2102570000002</v>
      </c>
      <c r="D402" s="151">
        <v>0.93</v>
      </c>
      <c r="E402" s="151" t="s">
        <v>305</v>
      </c>
      <c r="F402" s="152">
        <v>44403</v>
      </c>
      <c r="G402" s="155">
        <f t="shared" si="6"/>
        <v>5806.5089293670371</v>
      </c>
    </row>
    <row r="403" spans="1:7" x14ac:dyDescent="0.3">
      <c r="A403" s="151">
        <v>760199</v>
      </c>
      <c r="B403" s="152">
        <v>44414</v>
      </c>
      <c r="C403" s="153">
        <v>3597.7237660000001</v>
      </c>
      <c r="D403" s="151">
        <v>0.93</v>
      </c>
      <c r="E403" s="151" t="s">
        <v>305</v>
      </c>
      <c r="F403" s="152">
        <v>44403</v>
      </c>
      <c r="G403" s="155">
        <f t="shared" si="6"/>
        <v>5808.9526695532704</v>
      </c>
    </row>
    <row r="404" spans="1:7" x14ac:dyDescent="0.3">
      <c r="A404" s="151">
        <v>760199</v>
      </c>
      <c r="B404" s="152">
        <v>44417</v>
      </c>
      <c r="C404" s="153">
        <v>3599.2379120000001</v>
      </c>
      <c r="D404" s="151">
        <v>0.93</v>
      </c>
      <c r="E404" s="151" t="s">
        <v>305</v>
      </c>
      <c r="F404" s="152">
        <v>44403</v>
      </c>
      <c r="G404" s="155">
        <f t="shared" si="6"/>
        <v>5811.3974382517226</v>
      </c>
    </row>
    <row r="405" spans="1:7" x14ac:dyDescent="0.3">
      <c r="A405" s="151">
        <v>760199</v>
      </c>
      <c r="B405" s="152">
        <v>44418</v>
      </c>
      <c r="C405" s="153">
        <v>3601.6274349999999</v>
      </c>
      <c r="D405" s="151">
        <v>0.96</v>
      </c>
      <c r="E405" s="151" t="s">
        <v>9</v>
      </c>
      <c r="F405" s="152">
        <v>44418</v>
      </c>
      <c r="G405" s="155">
        <f t="shared" si="6"/>
        <v>5815.2556071698</v>
      </c>
    </row>
    <row r="406" spans="1:7" x14ac:dyDescent="0.3">
      <c r="A406" s="151">
        <v>760199</v>
      </c>
      <c r="B406" s="152">
        <v>44419</v>
      </c>
      <c r="C406" s="153">
        <v>3603.1918470000001</v>
      </c>
      <c r="D406" s="151">
        <v>0.96</v>
      </c>
      <c r="E406" s="151" t="s">
        <v>9</v>
      </c>
      <c r="F406" s="152">
        <v>44418</v>
      </c>
      <c r="G406" s="155">
        <f t="shared" si="6"/>
        <v>5817.7815363002028</v>
      </c>
    </row>
    <row r="407" spans="1:7" x14ac:dyDescent="0.3">
      <c r="A407" s="151">
        <v>760199</v>
      </c>
      <c r="B407" s="152">
        <v>44420</v>
      </c>
      <c r="C407" s="153">
        <v>3604.7569389999999</v>
      </c>
      <c r="D407" s="151">
        <v>0.96</v>
      </c>
      <c r="E407" s="151" t="s">
        <v>9</v>
      </c>
      <c r="F407" s="152">
        <v>44418</v>
      </c>
      <c r="G407" s="155">
        <f t="shared" si="6"/>
        <v>5820.3085633714336</v>
      </c>
    </row>
    <row r="408" spans="1:7" x14ac:dyDescent="0.3">
      <c r="A408" s="151">
        <v>760199</v>
      </c>
      <c r="B408" s="152">
        <v>44421</v>
      </c>
      <c r="C408" s="153">
        <v>3606.3227099999999</v>
      </c>
      <c r="D408" s="151">
        <v>0.96</v>
      </c>
      <c r="E408" s="151" t="s">
        <v>9</v>
      </c>
      <c r="F408" s="152">
        <v>44418</v>
      </c>
      <c r="G408" s="155">
        <f t="shared" si="6"/>
        <v>5822.8366867688765</v>
      </c>
    </row>
    <row r="409" spans="1:7" x14ac:dyDescent="0.3">
      <c r="A409" s="151">
        <v>760199</v>
      </c>
      <c r="B409" s="152">
        <v>44424</v>
      </c>
      <c r="C409" s="153">
        <v>3607.8891619999999</v>
      </c>
      <c r="D409" s="151">
        <v>0.96</v>
      </c>
      <c r="E409" s="151" t="s">
        <v>9</v>
      </c>
      <c r="F409" s="152">
        <v>44418</v>
      </c>
      <c r="G409" s="155">
        <f t="shared" si="6"/>
        <v>5825.3659097217669</v>
      </c>
    </row>
    <row r="410" spans="1:7" x14ac:dyDescent="0.3">
      <c r="A410" s="151">
        <v>760199</v>
      </c>
      <c r="B410" s="152">
        <v>44425</v>
      </c>
      <c r="C410" s="153">
        <v>3608.831619</v>
      </c>
      <c r="D410" s="151">
        <v>0.55000000000000004</v>
      </c>
      <c r="E410" s="151" t="s">
        <v>305</v>
      </c>
      <c r="F410" s="152">
        <v>44425</v>
      </c>
      <c r="G410" s="155">
        <f t="shared" si="6"/>
        <v>5826.8876185749668</v>
      </c>
    </row>
    <row r="411" spans="1:7" x14ac:dyDescent="0.3">
      <c r="A411" s="151">
        <v>760199</v>
      </c>
      <c r="B411" s="152">
        <v>44426</v>
      </c>
      <c r="C411" s="153">
        <v>3609.7743220000002</v>
      </c>
      <c r="D411" s="151">
        <v>0.55000000000000004</v>
      </c>
      <c r="E411" s="151" t="s">
        <v>305</v>
      </c>
      <c r="F411" s="152">
        <v>44425</v>
      </c>
      <c r="G411" s="155">
        <f t="shared" si="6"/>
        <v>5828.4097246244073</v>
      </c>
    </row>
    <row r="412" spans="1:7" x14ac:dyDescent="0.3">
      <c r="A412" s="151">
        <v>760199</v>
      </c>
      <c r="B412" s="152">
        <v>44427</v>
      </c>
      <c r="C412" s="153">
        <v>3610.7172719999999</v>
      </c>
      <c r="D412" s="151">
        <v>0.55000000000000004</v>
      </c>
      <c r="E412" s="151" t="s">
        <v>305</v>
      </c>
      <c r="F412" s="152">
        <v>44425</v>
      </c>
      <c r="G412" s="155">
        <f t="shared" si="6"/>
        <v>5829.9322294847079</v>
      </c>
    </row>
    <row r="413" spans="1:7" x14ac:dyDescent="0.3">
      <c r="A413" s="151">
        <v>760199</v>
      </c>
      <c r="B413" s="152">
        <v>44428</v>
      </c>
      <c r="C413" s="153">
        <v>3611.660468</v>
      </c>
      <c r="D413" s="151">
        <v>0.55000000000000004</v>
      </c>
      <c r="E413" s="151" t="s">
        <v>305</v>
      </c>
      <c r="F413" s="152">
        <v>44425</v>
      </c>
      <c r="G413" s="155">
        <f t="shared" si="6"/>
        <v>5831.4551315412509</v>
      </c>
    </row>
    <row r="414" spans="1:7" x14ac:dyDescent="0.3">
      <c r="A414" s="151">
        <v>760199</v>
      </c>
      <c r="B414" s="152">
        <v>44431</v>
      </c>
      <c r="C414" s="153">
        <v>3612.6039110000002</v>
      </c>
      <c r="D414" s="151">
        <v>0.55000000000000004</v>
      </c>
      <c r="E414" s="151" t="s">
        <v>305</v>
      </c>
      <c r="F414" s="152">
        <v>44425</v>
      </c>
      <c r="G414" s="155">
        <f t="shared" si="6"/>
        <v>5832.9784324086531</v>
      </c>
    </row>
    <row r="415" spans="1:7" x14ac:dyDescent="0.3">
      <c r="A415" s="151">
        <v>760199</v>
      </c>
      <c r="B415" s="152">
        <v>44432</v>
      </c>
      <c r="C415" s="153">
        <v>3613.5475999999999</v>
      </c>
      <c r="D415" s="151">
        <v>0.55000000000000004</v>
      </c>
      <c r="E415" s="151" t="s">
        <v>305</v>
      </c>
      <c r="F415" s="152">
        <v>44425</v>
      </c>
      <c r="G415" s="155">
        <f t="shared" si="6"/>
        <v>5834.5021304722959</v>
      </c>
    </row>
    <row r="416" spans="1:7" x14ac:dyDescent="0.3">
      <c r="A416" s="151">
        <v>760199</v>
      </c>
      <c r="B416" s="152">
        <v>44433</v>
      </c>
      <c r="C416" s="153">
        <v>3614.4915350000001</v>
      </c>
      <c r="D416" s="151">
        <v>0.55000000000000004</v>
      </c>
      <c r="E416" s="151" t="s">
        <v>305</v>
      </c>
      <c r="F416" s="152">
        <v>44425</v>
      </c>
      <c r="G416" s="155">
        <f t="shared" si="6"/>
        <v>5836.026225732181</v>
      </c>
    </row>
    <row r="417" spans="1:7" x14ac:dyDescent="0.3">
      <c r="A417" s="151">
        <v>760199</v>
      </c>
      <c r="B417" s="152">
        <v>44434</v>
      </c>
      <c r="C417" s="153">
        <v>3616.9419600000001</v>
      </c>
      <c r="D417" s="151">
        <v>0.66</v>
      </c>
      <c r="E417" s="151" t="s">
        <v>305</v>
      </c>
      <c r="F417" s="152">
        <v>44434</v>
      </c>
      <c r="G417" s="155">
        <f t="shared" si="6"/>
        <v>5839.9827281684748</v>
      </c>
    </row>
    <row r="418" spans="1:7" x14ac:dyDescent="0.3">
      <c r="A418" s="151">
        <v>760199</v>
      </c>
      <c r="B418" s="152">
        <v>44435</v>
      </c>
      <c r="C418" s="153">
        <v>3618.0751559999999</v>
      </c>
      <c r="D418" s="151">
        <v>0.66</v>
      </c>
      <c r="E418" s="151" t="s">
        <v>305</v>
      </c>
      <c r="F418" s="152">
        <v>44434</v>
      </c>
      <c r="G418" s="155">
        <f t="shared" si="6"/>
        <v>5841.8124078096789</v>
      </c>
    </row>
    <row r="419" spans="1:7" x14ac:dyDescent="0.3">
      <c r="A419" s="151">
        <v>760199</v>
      </c>
      <c r="B419" s="152">
        <v>44438</v>
      </c>
      <c r="C419" s="153">
        <v>3619.2087069999998</v>
      </c>
      <c r="D419" s="151">
        <v>0.66</v>
      </c>
      <c r="E419" s="151" t="s">
        <v>305</v>
      </c>
      <c r="F419" s="152">
        <v>44434</v>
      </c>
      <c r="G419" s="155">
        <f t="shared" si="6"/>
        <v>5843.6426606405803</v>
      </c>
    </row>
    <row r="420" spans="1:7" x14ac:dyDescent="0.3">
      <c r="A420" s="151">
        <v>760199</v>
      </c>
      <c r="B420" s="152">
        <v>44439</v>
      </c>
      <c r="C420" s="153">
        <v>3620.3426129999998</v>
      </c>
      <c r="D420" s="151">
        <v>0.66</v>
      </c>
      <c r="E420" s="151" t="s">
        <v>305</v>
      </c>
      <c r="F420" s="152">
        <v>44434</v>
      </c>
      <c r="G420" s="155">
        <f t="shared" si="6"/>
        <v>5845.4734866611798</v>
      </c>
    </row>
    <row r="421" spans="1:7" x14ac:dyDescent="0.3">
      <c r="A421" s="151">
        <v>760199</v>
      </c>
      <c r="B421" s="152">
        <v>44440</v>
      </c>
      <c r="C421" s="153">
        <v>3621.476874</v>
      </c>
      <c r="D421" s="151">
        <v>0.66</v>
      </c>
      <c r="E421" s="151" t="s">
        <v>305</v>
      </c>
      <c r="F421" s="152">
        <v>44434</v>
      </c>
      <c r="G421" s="155">
        <f t="shared" si="6"/>
        <v>5847.3048858714774</v>
      </c>
    </row>
    <row r="422" spans="1:7" x14ac:dyDescent="0.3">
      <c r="A422" s="151">
        <v>760199</v>
      </c>
      <c r="B422" s="152">
        <v>44441</v>
      </c>
      <c r="C422" s="153">
        <v>3622.6114910000001</v>
      </c>
      <c r="D422" s="151">
        <v>0.66</v>
      </c>
      <c r="E422" s="151" t="s">
        <v>305</v>
      </c>
      <c r="F422" s="152">
        <v>44434</v>
      </c>
      <c r="G422" s="155">
        <f t="shared" si="6"/>
        <v>5849.1368598860918</v>
      </c>
    </row>
    <row r="423" spans="1:7" x14ac:dyDescent="0.3">
      <c r="A423" s="151">
        <v>760199</v>
      </c>
      <c r="B423" s="152">
        <v>44442</v>
      </c>
      <c r="C423" s="153">
        <v>3623.7464629999999</v>
      </c>
      <c r="D423" s="151">
        <v>0.66</v>
      </c>
      <c r="E423" s="151" t="s">
        <v>305</v>
      </c>
      <c r="F423" s="152">
        <v>44434</v>
      </c>
      <c r="G423" s="155">
        <f t="shared" si="6"/>
        <v>5850.9694070904025</v>
      </c>
    </row>
    <row r="424" spans="1:7" x14ac:dyDescent="0.3">
      <c r="A424" s="151">
        <v>760199</v>
      </c>
      <c r="B424" s="152">
        <v>44445</v>
      </c>
      <c r="C424" s="153">
        <v>3624.8817899999999</v>
      </c>
      <c r="D424" s="151">
        <v>0.66</v>
      </c>
      <c r="E424" s="151" t="s">
        <v>305</v>
      </c>
      <c r="F424" s="152">
        <v>44434</v>
      </c>
      <c r="G424" s="155">
        <f t="shared" si="6"/>
        <v>5852.8025274844113</v>
      </c>
    </row>
    <row r="425" spans="1:7" x14ac:dyDescent="0.3">
      <c r="A425" s="151">
        <v>760199</v>
      </c>
      <c r="B425" s="152">
        <v>44447</v>
      </c>
      <c r="C425" s="153">
        <v>3626.0174740000002</v>
      </c>
      <c r="D425" s="151">
        <v>0.66</v>
      </c>
      <c r="E425" s="151" t="s">
        <v>305</v>
      </c>
      <c r="F425" s="152">
        <v>44434</v>
      </c>
      <c r="G425" s="155">
        <f t="shared" si="6"/>
        <v>5854.6362242973564</v>
      </c>
    </row>
    <row r="426" spans="1:7" x14ac:dyDescent="0.3">
      <c r="A426" s="151">
        <v>760199</v>
      </c>
      <c r="B426" s="152">
        <v>44448</v>
      </c>
      <c r="C426" s="153">
        <v>3633.2776680000002</v>
      </c>
      <c r="D426" s="151">
        <v>0.87</v>
      </c>
      <c r="E426" s="151" t="s">
        <v>9</v>
      </c>
      <c r="F426" s="152">
        <v>44448</v>
      </c>
      <c r="G426" s="155">
        <f t="shared" si="6"/>
        <v>5866.3586705052448</v>
      </c>
    </row>
    <row r="427" spans="1:7" x14ac:dyDescent="0.3">
      <c r="A427" s="151">
        <v>760199</v>
      </c>
      <c r="B427" s="152">
        <v>44449</v>
      </c>
      <c r="C427" s="153">
        <v>3634.7766609999999</v>
      </c>
      <c r="D427" s="151">
        <v>0.87</v>
      </c>
      <c r="E427" s="151" t="s">
        <v>9</v>
      </c>
      <c r="F427" s="152">
        <v>44448</v>
      </c>
      <c r="G427" s="155">
        <f t="shared" si="6"/>
        <v>5868.7789728840107</v>
      </c>
    </row>
    <row r="428" spans="1:7" x14ac:dyDescent="0.3">
      <c r="A428" s="151">
        <v>760199</v>
      </c>
      <c r="B428" s="152">
        <v>44452</v>
      </c>
      <c r="C428" s="153">
        <v>3636.2762729999999</v>
      </c>
      <c r="D428" s="151">
        <v>0.87</v>
      </c>
      <c r="E428" s="151" t="s">
        <v>9</v>
      </c>
      <c r="F428" s="152">
        <v>44448</v>
      </c>
      <c r="G428" s="155">
        <f t="shared" si="6"/>
        <v>5871.2002747118549</v>
      </c>
    </row>
    <row r="429" spans="1:7" x14ac:dyDescent="0.3">
      <c r="A429" s="151">
        <v>760199</v>
      </c>
      <c r="B429" s="152">
        <v>44453</v>
      </c>
      <c r="C429" s="153">
        <v>3637.776503</v>
      </c>
      <c r="D429" s="151">
        <v>0.87</v>
      </c>
      <c r="E429" s="151" t="s">
        <v>9</v>
      </c>
      <c r="F429" s="152">
        <v>44448</v>
      </c>
      <c r="G429" s="155">
        <f t="shared" si="6"/>
        <v>5873.6225743741588</v>
      </c>
    </row>
    <row r="430" spans="1:7" x14ac:dyDescent="0.3">
      <c r="A430" s="151">
        <v>760199</v>
      </c>
      <c r="B430" s="152">
        <v>44454</v>
      </c>
      <c r="C430" s="153">
        <v>3639.2773529999999</v>
      </c>
      <c r="D430" s="151">
        <v>0.87</v>
      </c>
      <c r="E430" s="151" t="s">
        <v>9</v>
      </c>
      <c r="F430" s="152">
        <v>44448</v>
      </c>
      <c r="G430" s="155">
        <f t="shared" si="6"/>
        <v>5876.0458751001597</v>
      </c>
    </row>
    <row r="431" spans="1:7" x14ac:dyDescent="0.3">
      <c r="A431" s="151">
        <v>760199</v>
      </c>
      <c r="B431" s="152">
        <v>44455</v>
      </c>
      <c r="C431" s="153">
        <v>3640.9849749999998</v>
      </c>
      <c r="D431" s="151">
        <v>0.99</v>
      </c>
      <c r="E431" s="151" t="s">
        <v>305</v>
      </c>
      <c r="F431" s="152">
        <v>44455</v>
      </c>
      <c r="G431" s="155">
        <f t="shared" si="6"/>
        <v>5878.8030337984546</v>
      </c>
    </row>
    <row r="432" spans="1:7" x14ac:dyDescent="0.3">
      <c r="A432" s="151">
        <v>760199</v>
      </c>
      <c r="B432" s="152">
        <v>44456</v>
      </c>
      <c r="C432" s="153">
        <v>3642.6934000000001</v>
      </c>
      <c r="D432" s="151">
        <v>0.99</v>
      </c>
      <c r="E432" s="151" t="s">
        <v>305</v>
      </c>
      <c r="F432" s="152">
        <v>44455</v>
      </c>
      <c r="G432" s="155">
        <f t="shared" si="6"/>
        <v>5881.5614890356992</v>
      </c>
    </row>
    <row r="433" spans="1:7" x14ac:dyDescent="0.3">
      <c r="A433" s="151">
        <v>760199</v>
      </c>
      <c r="B433" s="152">
        <v>44459</v>
      </c>
      <c r="C433" s="153">
        <v>3644.4026250000002</v>
      </c>
      <c r="D433" s="151">
        <v>0.99</v>
      </c>
      <c r="E433" s="151" t="s">
        <v>305</v>
      </c>
      <c r="F433" s="152">
        <v>44455</v>
      </c>
      <c r="G433" s="155">
        <f t="shared" si="6"/>
        <v>5884.3212359680374</v>
      </c>
    </row>
    <row r="434" spans="1:7" x14ac:dyDescent="0.3">
      <c r="A434" s="151">
        <v>760199</v>
      </c>
      <c r="B434" s="152">
        <v>44460</v>
      </c>
      <c r="C434" s="153">
        <v>3646.1126530000001</v>
      </c>
      <c r="D434" s="151">
        <v>0.99</v>
      </c>
      <c r="E434" s="151" t="s">
        <v>305</v>
      </c>
      <c r="F434" s="152">
        <v>44455</v>
      </c>
      <c r="G434" s="155">
        <f t="shared" si="6"/>
        <v>5887.0822794393252</v>
      </c>
    </row>
    <row r="435" spans="1:7" x14ac:dyDescent="0.3">
      <c r="A435" s="151">
        <v>760199</v>
      </c>
      <c r="B435" s="152">
        <v>44461</v>
      </c>
      <c r="C435" s="153">
        <v>3647.823484</v>
      </c>
      <c r="D435" s="151">
        <v>0.99</v>
      </c>
      <c r="E435" s="151" t="s">
        <v>305</v>
      </c>
      <c r="F435" s="152">
        <v>44455</v>
      </c>
      <c r="G435" s="155">
        <f t="shared" si="6"/>
        <v>5889.8446194495627</v>
      </c>
    </row>
    <row r="436" spans="1:7" x14ac:dyDescent="0.3">
      <c r="A436" s="151">
        <v>760199</v>
      </c>
      <c r="B436" s="152">
        <v>44462</v>
      </c>
      <c r="C436" s="153">
        <v>3649.535116</v>
      </c>
      <c r="D436" s="151">
        <v>0.99</v>
      </c>
      <c r="E436" s="151" t="s">
        <v>305</v>
      </c>
      <c r="F436" s="152">
        <v>44455</v>
      </c>
      <c r="G436" s="155">
        <f t="shared" si="6"/>
        <v>5892.6082527695125</v>
      </c>
    </row>
    <row r="437" spans="1:7" x14ac:dyDescent="0.3">
      <c r="A437" s="151">
        <v>760199</v>
      </c>
      <c r="B437" s="152">
        <v>44463</v>
      </c>
      <c r="C437" s="153">
        <v>3651.2475530000002</v>
      </c>
      <c r="D437" s="151">
        <v>0.99</v>
      </c>
      <c r="E437" s="151" t="s">
        <v>305</v>
      </c>
      <c r="F437" s="152">
        <v>44455</v>
      </c>
      <c r="G437" s="155">
        <f t="shared" si="6"/>
        <v>5895.3731858576502</v>
      </c>
    </row>
    <row r="438" spans="1:7" x14ac:dyDescent="0.3">
      <c r="A438" s="151">
        <v>760199</v>
      </c>
      <c r="B438" s="152">
        <v>44466</v>
      </c>
      <c r="C438" s="153">
        <v>3656.265472</v>
      </c>
      <c r="D438" s="151">
        <v>1.23</v>
      </c>
      <c r="E438" s="151" t="s">
        <v>305</v>
      </c>
      <c r="F438" s="152">
        <v>44466</v>
      </c>
      <c r="G438" s="155">
        <f t="shared" si="6"/>
        <v>5903.4752125463365</v>
      </c>
    </row>
    <row r="439" spans="1:7" x14ac:dyDescent="0.3">
      <c r="A439" s="151">
        <v>760199</v>
      </c>
      <c r="B439" s="152">
        <v>44467</v>
      </c>
      <c r="C439" s="153">
        <v>3658.3945549999999</v>
      </c>
      <c r="D439" s="151">
        <v>1.23</v>
      </c>
      <c r="E439" s="151" t="s">
        <v>305</v>
      </c>
      <c r="F439" s="152">
        <v>44466</v>
      </c>
      <c r="G439" s="155">
        <f t="shared" si="6"/>
        <v>5906.9128701267855</v>
      </c>
    </row>
    <row r="440" spans="1:7" x14ac:dyDescent="0.3">
      <c r="A440" s="151">
        <v>760199</v>
      </c>
      <c r="B440" s="152">
        <v>44468</v>
      </c>
      <c r="C440" s="153">
        <v>3660.5248780000002</v>
      </c>
      <c r="D440" s="151">
        <v>1.23</v>
      </c>
      <c r="E440" s="151" t="s">
        <v>305</v>
      </c>
      <c r="F440" s="152">
        <v>44466</v>
      </c>
      <c r="G440" s="155">
        <f t="shared" si="6"/>
        <v>5910.3525298346303</v>
      </c>
    </row>
    <row r="441" spans="1:7" x14ac:dyDescent="0.3">
      <c r="A441" s="151">
        <v>760199</v>
      </c>
      <c r="B441" s="152">
        <v>44469</v>
      </c>
      <c r="C441" s="153">
        <v>3662.656442</v>
      </c>
      <c r="D441" s="151">
        <v>1.23</v>
      </c>
      <c r="E441" s="151" t="s">
        <v>305</v>
      </c>
      <c r="F441" s="152">
        <v>44466</v>
      </c>
      <c r="G441" s="155">
        <f t="shared" si="6"/>
        <v>5913.7941932844869</v>
      </c>
    </row>
    <row r="442" spans="1:7" x14ac:dyDescent="0.3">
      <c r="A442" s="151">
        <v>760199</v>
      </c>
      <c r="B442" s="152">
        <v>44470</v>
      </c>
      <c r="C442" s="153">
        <v>3664.7892470000002</v>
      </c>
      <c r="D442" s="151">
        <v>1.23</v>
      </c>
      <c r="E442" s="151" t="s">
        <v>305</v>
      </c>
      <c r="F442" s="152">
        <v>44466</v>
      </c>
      <c r="G442" s="155">
        <f t="shared" si="6"/>
        <v>5917.2378604763571</v>
      </c>
    </row>
    <row r="443" spans="1:7" x14ac:dyDescent="0.3">
      <c r="A443" s="151">
        <v>760199</v>
      </c>
      <c r="B443" s="152">
        <v>44473</v>
      </c>
      <c r="C443" s="153">
        <v>3666.9232929999998</v>
      </c>
      <c r="D443" s="151">
        <v>1.23</v>
      </c>
      <c r="E443" s="151" t="s">
        <v>305</v>
      </c>
      <c r="F443" s="152">
        <v>44466</v>
      </c>
      <c r="G443" s="155">
        <f t="shared" si="6"/>
        <v>5920.68353141024</v>
      </c>
    </row>
    <row r="444" spans="1:7" x14ac:dyDescent="0.3">
      <c r="A444" s="151">
        <v>760199</v>
      </c>
      <c r="B444" s="152">
        <v>44474</v>
      </c>
      <c r="C444" s="153">
        <v>3669.058583</v>
      </c>
      <c r="D444" s="151">
        <v>1.23</v>
      </c>
      <c r="E444" s="151" t="s">
        <v>305</v>
      </c>
      <c r="F444" s="152">
        <v>44466</v>
      </c>
      <c r="G444" s="155">
        <f t="shared" si="6"/>
        <v>5924.1312109299943</v>
      </c>
    </row>
    <row r="445" spans="1:7" x14ac:dyDescent="0.3">
      <c r="A445" s="151">
        <v>760199</v>
      </c>
      <c r="B445" s="152">
        <v>44475</v>
      </c>
      <c r="C445" s="153">
        <v>3671.195115</v>
      </c>
      <c r="D445" s="151">
        <v>1.23</v>
      </c>
      <c r="E445" s="151" t="s">
        <v>305</v>
      </c>
      <c r="F445" s="152">
        <v>44466</v>
      </c>
      <c r="G445" s="155">
        <f t="shared" si="6"/>
        <v>5927.5808958063808</v>
      </c>
    </row>
    <row r="446" spans="1:7" x14ac:dyDescent="0.3">
      <c r="A446" s="151">
        <v>760199</v>
      </c>
      <c r="B446" s="152">
        <v>44476</v>
      </c>
      <c r="C446" s="153">
        <v>3673.3328919999999</v>
      </c>
      <c r="D446" s="151">
        <v>1.23</v>
      </c>
      <c r="E446" s="151" t="s">
        <v>305</v>
      </c>
      <c r="F446" s="152">
        <v>44466</v>
      </c>
      <c r="G446" s="155">
        <f t="shared" si="6"/>
        <v>5931.0325908832556</v>
      </c>
    </row>
    <row r="447" spans="1:7" x14ac:dyDescent="0.3">
      <c r="A447" s="151">
        <v>760199</v>
      </c>
      <c r="B447" s="152">
        <v>44477</v>
      </c>
      <c r="C447" s="153">
        <v>3673.413227</v>
      </c>
      <c r="D447" s="151">
        <v>1.1599999999999999</v>
      </c>
      <c r="E447" s="151" t="s">
        <v>9</v>
      </c>
      <c r="F447" s="152">
        <v>44477</v>
      </c>
      <c r="G447" s="155">
        <f t="shared" si="6"/>
        <v>5931.1623012899072</v>
      </c>
    </row>
    <row r="448" spans="1:7" x14ac:dyDescent="0.3">
      <c r="A448" s="151">
        <v>760199</v>
      </c>
      <c r="B448" s="152">
        <v>44480</v>
      </c>
      <c r="C448" s="153">
        <v>3675.4311619999999</v>
      </c>
      <c r="D448" s="151">
        <v>1.1599999999999999</v>
      </c>
      <c r="E448" s="151" t="s">
        <v>9</v>
      </c>
      <c r="F448" s="152">
        <v>44477</v>
      </c>
      <c r="G448" s="155">
        <f t="shared" si="6"/>
        <v>5934.4204972125654</v>
      </c>
    </row>
    <row r="449" spans="1:7" x14ac:dyDescent="0.3">
      <c r="A449" s="151">
        <v>760199</v>
      </c>
      <c r="B449" s="152">
        <v>44482</v>
      </c>
      <c r="C449" s="153">
        <v>3677.4502050000001</v>
      </c>
      <c r="D449" s="151">
        <v>1.1599999999999999</v>
      </c>
      <c r="E449" s="151" t="s">
        <v>9</v>
      </c>
      <c r="F449" s="152">
        <v>44477</v>
      </c>
      <c r="G449" s="155">
        <f t="shared" si="6"/>
        <v>5937.6804821329288</v>
      </c>
    </row>
    <row r="450" spans="1:7" x14ac:dyDescent="0.3">
      <c r="A450" s="151">
        <v>760199</v>
      </c>
      <c r="B450" s="152">
        <v>44483</v>
      </c>
      <c r="C450" s="153">
        <v>3679.470358</v>
      </c>
      <c r="D450" s="151">
        <v>1.1599999999999999</v>
      </c>
      <c r="E450" s="151" t="s">
        <v>9</v>
      </c>
      <c r="F450" s="152">
        <v>44477</v>
      </c>
      <c r="G450" s="155">
        <f t="shared" si="6"/>
        <v>5940.9422592802339</v>
      </c>
    </row>
    <row r="451" spans="1:7" x14ac:dyDescent="0.3">
      <c r="A451" s="151">
        <v>760199</v>
      </c>
      <c r="B451" s="152">
        <v>44484</v>
      </c>
      <c r="C451" s="153">
        <v>3681.4916199999998</v>
      </c>
      <c r="D451" s="151">
        <v>1.1599999999999999</v>
      </c>
      <c r="E451" s="151" t="s">
        <v>9</v>
      </c>
      <c r="F451" s="152">
        <v>44477</v>
      </c>
      <c r="G451" s="155">
        <f t="shared" si="6"/>
        <v>5944.2058270398611</v>
      </c>
    </row>
    <row r="452" spans="1:7" x14ac:dyDescent="0.3">
      <c r="A452" s="151">
        <v>760199</v>
      </c>
      <c r="B452" s="152">
        <v>44487</v>
      </c>
      <c r="C452" s="153">
        <v>3682.775877</v>
      </c>
      <c r="D452" s="151">
        <v>0.7</v>
      </c>
      <c r="E452" s="151" t="s">
        <v>305</v>
      </c>
      <c r="F452" s="152">
        <v>44487</v>
      </c>
      <c r="G452" s="155">
        <f t="shared" si="6"/>
        <v>5946.2794126216804</v>
      </c>
    </row>
    <row r="453" spans="1:7" x14ac:dyDescent="0.3">
      <c r="A453" s="151">
        <v>760199</v>
      </c>
      <c r="B453" s="152">
        <v>44488</v>
      </c>
      <c r="C453" s="153">
        <v>3684.0605820000001</v>
      </c>
      <c r="D453" s="151">
        <v>0.7</v>
      </c>
      <c r="E453" s="151" t="s">
        <v>305</v>
      </c>
      <c r="F453" s="152">
        <v>44487</v>
      </c>
      <c r="G453" s="155">
        <f t="shared" ref="G453:G516" si="7">+C453/C452*G452</f>
        <v>5948.3537215527513</v>
      </c>
    </row>
    <row r="454" spans="1:7" x14ac:dyDescent="0.3">
      <c r="A454" s="151">
        <v>760199</v>
      </c>
      <c r="B454" s="152">
        <v>44489</v>
      </c>
      <c r="C454" s="153">
        <v>3685.3457349999999</v>
      </c>
      <c r="D454" s="151">
        <v>0.7</v>
      </c>
      <c r="E454" s="151" t="s">
        <v>305</v>
      </c>
      <c r="F454" s="152">
        <v>44487</v>
      </c>
      <c r="G454" s="155">
        <f t="shared" si="7"/>
        <v>5950.4287538330736</v>
      </c>
    </row>
    <row r="455" spans="1:7" x14ac:dyDescent="0.3">
      <c r="A455" s="151">
        <v>760199</v>
      </c>
      <c r="B455" s="152">
        <v>44490</v>
      </c>
      <c r="C455" s="153">
        <v>3686.6313369999998</v>
      </c>
      <c r="D455" s="151">
        <v>0.7</v>
      </c>
      <c r="E455" s="151" t="s">
        <v>305</v>
      </c>
      <c r="F455" s="152">
        <v>44487</v>
      </c>
      <c r="G455" s="155">
        <f t="shared" si="7"/>
        <v>5952.504511077268</v>
      </c>
    </row>
    <row r="456" spans="1:7" x14ac:dyDescent="0.3">
      <c r="A456" s="151">
        <v>760199</v>
      </c>
      <c r="B456" s="152">
        <v>44491</v>
      </c>
      <c r="C456" s="153">
        <v>3687.917387</v>
      </c>
      <c r="D456" s="151">
        <v>0.7</v>
      </c>
      <c r="E456" s="151" t="s">
        <v>305</v>
      </c>
      <c r="F456" s="152">
        <v>44487</v>
      </c>
      <c r="G456" s="155">
        <f t="shared" si="7"/>
        <v>5954.580991670714</v>
      </c>
    </row>
    <row r="457" spans="1:7" x14ac:dyDescent="0.3">
      <c r="A457" s="151">
        <v>760199</v>
      </c>
      <c r="B457" s="152">
        <v>44494</v>
      </c>
      <c r="C457" s="153">
        <v>3689.2038849999999</v>
      </c>
      <c r="D457" s="151">
        <v>0.7</v>
      </c>
      <c r="E457" s="151" t="s">
        <v>305</v>
      </c>
      <c r="F457" s="152">
        <v>44487</v>
      </c>
      <c r="G457" s="155">
        <f t="shared" si="7"/>
        <v>5956.6581956134114</v>
      </c>
    </row>
    <row r="458" spans="1:7" x14ac:dyDescent="0.3">
      <c r="A458" s="151">
        <v>760199</v>
      </c>
      <c r="B458" s="152">
        <v>44495</v>
      </c>
      <c r="C458" s="153">
        <v>3690.4908329999998</v>
      </c>
      <c r="D458" s="151">
        <v>0.7</v>
      </c>
      <c r="E458" s="151" t="s">
        <v>305</v>
      </c>
      <c r="F458" s="152">
        <v>44487</v>
      </c>
      <c r="G458" s="155">
        <f t="shared" si="7"/>
        <v>5958.7361261345995</v>
      </c>
    </row>
    <row r="459" spans="1:7" x14ac:dyDescent="0.3">
      <c r="A459" s="151">
        <v>760199</v>
      </c>
      <c r="B459" s="152">
        <v>44496</v>
      </c>
      <c r="C459" s="153">
        <v>3696.612752</v>
      </c>
      <c r="D459" s="151">
        <v>1.03</v>
      </c>
      <c r="E459" s="151" t="s">
        <v>305</v>
      </c>
      <c r="F459" s="152">
        <v>44496</v>
      </c>
      <c r="G459" s="155">
        <f t="shared" si="7"/>
        <v>5968.6206920520599</v>
      </c>
    </row>
    <row r="460" spans="1:7" x14ac:dyDescent="0.3">
      <c r="A460" s="151">
        <v>760199</v>
      </c>
      <c r="B460" s="152">
        <v>44497</v>
      </c>
      <c r="C460" s="153">
        <v>3698.5072559999999</v>
      </c>
      <c r="D460" s="151">
        <v>1.03</v>
      </c>
      <c r="E460" s="151" t="s">
        <v>305</v>
      </c>
      <c r="F460" s="152">
        <v>44496</v>
      </c>
      <c r="G460" s="155">
        <f t="shared" si="7"/>
        <v>5971.6795939533904</v>
      </c>
    </row>
    <row r="461" spans="1:7" x14ac:dyDescent="0.3">
      <c r="A461" s="151">
        <v>760199</v>
      </c>
      <c r="B461" s="152">
        <v>44498</v>
      </c>
      <c r="C461" s="153">
        <v>3700.4027299999998</v>
      </c>
      <c r="D461" s="151">
        <v>1.03</v>
      </c>
      <c r="E461" s="151" t="s">
        <v>305</v>
      </c>
      <c r="F461" s="152">
        <v>44496</v>
      </c>
      <c r="G461" s="155">
        <f t="shared" si="7"/>
        <v>5974.7400620350218</v>
      </c>
    </row>
    <row r="462" spans="1:7" x14ac:dyDescent="0.3">
      <c r="A462" s="151">
        <v>760199</v>
      </c>
      <c r="B462" s="152">
        <v>44501</v>
      </c>
      <c r="C462" s="153">
        <v>3702.299176</v>
      </c>
      <c r="D462" s="151">
        <v>1.03</v>
      </c>
      <c r="E462" s="151" t="s">
        <v>305</v>
      </c>
      <c r="F462" s="152">
        <v>44496</v>
      </c>
      <c r="G462" s="155">
        <f t="shared" si="7"/>
        <v>5977.8020995261923</v>
      </c>
    </row>
    <row r="463" spans="1:7" x14ac:dyDescent="0.3">
      <c r="A463" s="151">
        <v>760199</v>
      </c>
      <c r="B463" s="152">
        <v>44503</v>
      </c>
      <c r="C463" s="153">
        <v>3704.1965930000001</v>
      </c>
      <c r="D463" s="151">
        <v>1.03</v>
      </c>
      <c r="E463" s="151" t="s">
        <v>305</v>
      </c>
      <c r="F463" s="152">
        <v>44496</v>
      </c>
      <c r="G463" s="155">
        <f t="shared" si="7"/>
        <v>5980.8657048122814</v>
      </c>
    </row>
    <row r="464" spans="1:7" x14ac:dyDescent="0.3">
      <c r="A464" s="151">
        <v>760199</v>
      </c>
      <c r="B464" s="152">
        <v>44504</v>
      </c>
      <c r="C464" s="153">
        <v>3706.094983</v>
      </c>
      <c r="D464" s="151">
        <v>1.03</v>
      </c>
      <c r="E464" s="151" t="s">
        <v>305</v>
      </c>
      <c r="F464" s="152">
        <v>44496</v>
      </c>
      <c r="G464" s="155">
        <f t="shared" si="7"/>
        <v>5983.9308811225274</v>
      </c>
    </row>
    <row r="465" spans="1:7" x14ac:dyDescent="0.3">
      <c r="A465" s="151">
        <v>760199</v>
      </c>
      <c r="B465" s="152">
        <v>44505</v>
      </c>
      <c r="C465" s="153">
        <v>3707.994346</v>
      </c>
      <c r="D465" s="151">
        <v>1.03</v>
      </c>
      <c r="E465" s="151" t="s">
        <v>305</v>
      </c>
      <c r="F465" s="152">
        <v>44496</v>
      </c>
      <c r="G465" s="155">
        <f t="shared" si="7"/>
        <v>5986.9976284569302</v>
      </c>
    </row>
    <row r="466" spans="1:7" x14ac:dyDescent="0.3">
      <c r="A466" s="151">
        <v>760199</v>
      </c>
      <c r="B466" s="152">
        <v>44508</v>
      </c>
      <c r="C466" s="153">
        <v>3709.894683</v>
      </c>
      <c r="D466" s="151">
        <v>1.03</v>
      </c>
      <c r="E466" s="151" t="s">
        <v>305</v>
      </c>
      <c r="F466" s="152">
        <v>44496</v>
      </c>
      <c r="G466" s="155">
        <f t="shared" si="7"/>
        <v>5990.0659484301095</v>
      </c>
    </row>
    <row r="467" spans="1:7" x14ac:dyDescent="0.3">
      <c r="A467" s="151">
        <v>760199</v>
      </c>
      <c r="B467" s="152">
        <v>44509</v>
      </c>
      <c r="C467" s="153">
        <v>3711.7959930000002</v>
      </c>
      <c r="D467" s="151">
        <v>1.03</v>
      </c>
      <c r="E467" s="151" t="s">
        <v>305</v>
      </c>
      <c r="F467" s="152">
        <v>44496</v>
      </c>
      <c r="G467" s="155">
        <f t="shared" si="7"/>
        <v>5993.1358394274475</v>
      </c>
    </row>
    <row r="468" spans="1:7" x14ac:dyDescent="0.3">
      <c r="A468" s="151">
        <v>760199</v>
      </c>
      <c r="B468" s="152">
        <v>44510</v>
      </c>
      <c r="C468" s="153">
        <v>3720.5695919999998</v>
      </c>
      <c r="D468" s="151">
        <v>1.25</v>
      </c>
      <c r="E468" s="151" t="s">
        <v>9</v>
      </c>
      <c r="F468" s="152">
        <v>44510</v>
      </c>
      <c r="G468" s="155">
        <f t="shared" si="7"/>
        <v>6007.3018579012059</v>
      </c>
    </row>
    <row r="469" spans="1:7" x14ac:dyDescent="0.3">
      <c r="A469" s="151">
        <v>760199</v>
      </c>
      <c r="B469" s="152">
        <v>44511</v>
      </c>
      <c r="C469" s="153">
        <v>3722.881171</v>
      </c>
      <c r="D469" s="151">
        <v>1.25</v>
      </c>
      <c r="E469" s="151" t="s">
        <v>9</v>
      </c>
      <c r="F469" s="152">
        <v>44510</v>
      </c>
      <c r="G469" s="155">
        <f t="shared" si="7"/>
        <v>6011.0341769663419</v>
      </c>
    </row>
    <row r="470" spans="1:7" x14ac:dyDescent="0.3">
      <c r="A470" s="151">
        <v>760199</v>
      </c>
      <c r="B470" s="152">
        <v>44512</v>
      </c>
      <c r="C470" s="153">
        <v>3725.1941870000001</v>
      </c>
      <c r="D470" s="151">
        <v>1.25</v>
      </c>
      <c r="E470" s="151" t="s">
        <v>9</v>
      </c>
      <c r="F470" s="152">
        <v>44510</v>
      </c>
      <c r="G470" s="155">
        <f t="shared" si="7"/>
        <v>6014.7688162387894</v>
      </c>
    </row>
    <row r="471" spans="1:7" x14ac:dyDescent="0.3">
      <c r="A471" s="151">
        <v>760199</v>
      </c>
      <c r="B471" s="152">
        <v>44516</v>
      </c>
      <c r="C471" s="153">
        <v>3727.5086390000001</v>
      </c>
      <c r="D471" s="151">
        <v>1.25</v>
      </c>
      <c r="E471" s="151" t="s">
        <v>9</v>
      </c>
      <c r="F471" s="152">
        <v>44510</v>
      </c>
      <c r="G471" s="155">
        <f t="shared" si="7"/>
        <v>6018.5057741039282</v>
      </c>
    </row>
    <row r="472" spans="1:7" x14ac:dyDescent="0.3">
      <c r="A472" s="151">
        <v>760199</v>
      </c>
      <c r="B472" s="152">
        <v>44517</v>
      </c>
      <c r="C472" s="153">
        <v>3729.2576610000001</v>
      </c>
      <c r="D472" s="151">
        <v>0.99</v>
      </c>
      <c r="E472" s="151" t="s">
        <v>305</v>
      </c>
      <c r="F472" s="152">
        <v>44517</v>
      </c>
      <c r="G472" s="155">
        <f t="shared" si="7"/>
        <v>6021.3297780233015</v>
      </c>
    </row>
    <row r="473" spans="1:7" x14ac:dyDescent="0.3">
      <c r="A473" s="151">
        <v>760199</v>
      </c>
      <c r="B473" s="152">
        <v>44518</v>
      </c>
      <c r="C473" s="153">
        <v>3731.007505</v>
      </c>
      <c r="D473" s="151">
        <v>0.99</v>
      </c>
      <c r="E473" s="151" t="s">
        <v>305</v>
      </c>
      <c r="F473" s="152">
        <v>44517</v>
      </c>
      <c r="G473" s="155">
        <f t="shared" si="7"/>
        <v>6024.1551091593838</v>
      </c>
    </row>
    <row r="474" spans="1:7" x14ac:dyDescent="0.3">
      <c r="A474" s="151">
        <v>760199</v>
      </c>
      <c r="B474" s="152">
        <v>44519</v>
      </c>
      <c r="C474" s="153">
        <v>3732.7581700000001</v>
      </c>
      <c r="D474" s="151">
        <v>0.99</v>
      </c>
      <c r="E474" s="151" t="s">
        <v>305</v>
      </c>
      <c r="F474" s="152">
        <v>44517</v>
      </c>
      <c r="G474" s="155">
        <f t="shared" si="7"/>
        <v>6026.9817658975553</v>
      </c>
    </row>
    <row r="475" spans="1:7" x14ac:dyDescent="0.3">
      <c r="A475" s="151">
        <v>760199</v>
      </c>
      <c r="B475" s="152">
        <v>44522</v>
      </c>
      <c r="C475" s="153">
        <v>3734.5096560000002</v>
      </c>
      <c r="D475" s="151">
        <v>0.99</v>
      </c>
      <c r="E475" s="151" t="s">
        <v>305</v>
      </c>
      <c r="F475" s="152">
        <v>44517</v>
      </c>
      <c r="G475" s="155">
        <f t="shared" si="7"/>
        <v>6029.8097482378162</v>
      </c>
    </row>
    <row r="476" spans="1:7" x14ac:dyDescent="0.3">
      <c r="A476" s="151">
        <v>760199</v>
      </c>
      <c r="B476" s="152">
        <v>44523</v>
      </c>
      <c r="C476" s="153">
        <v>3736.2619629999999</v>
      </c>
      <c r="D476" s="151">
        <v>0.99</v>
      </c>
      <c r="E476" s="151" t="s">
        <v>305</v>
      </c>
      <c r="F476" s="152">
        <v>44517</v>
      </c>
      <c r="G476" s="155">
        <f t="shared" si="7"/>
        <v>6032.6390561801672</v>
      </c>
    </row>
    <row r="477" spans="1:7" x14ac:dyDescent="0.3">
      <c r="A477" s="151">
        <v>760199</v>
      </c>
      <c r="B477" s="152">
        <v>44524</v>
      </c>
      <c r="C477" s="153">
        <v>3738.0150939999999</v>
      </c>
      <c r="D477" s="151">
        <v>0.99</v>
      </c>
      <c r="E477" s="151" t="s">
        <v>305</v>
      </c>
      <c r="F477" s="152">
        <v>44517</v>
      </c>
      <c r="G477" s="155">
        <f t="shared" si="7"/>
        <v>6035.4696945684636</v>
      </c>
    </row>
    <row r="478" spans="1:7" x14ac:dyDescent="0.3">
      <c r="A478" s="151">
        <v>760199</v>
      </c>
      <c r="B478" s="152">
        <v>44525</v>
      </c>
      <c r="C478" s="153">
        <v>3739.7690459999999</v>
      </c>
      <c r="D478" s="151">
        <v>0.99</v>
      </c>
      <c r="E478" s="151" t="s">
        <v>305</v>
      </c>
      <c r="F478" s="152">
        <v>44517</v>
      </c>
      <c r="G478" s="155">
        <f t="shared" si="7"/>
        <v>6038.3016585588493</v>
      </c>
    </row>
    <row r="479" spans="1:7" x14ac:dyDescent="0.3">
      <c r="A479" s="151">
        <v>760199</v>
      </c>
      <c r="B479" s="152">
        <v>44526</v>
      </c>
      <c r="C479" s="153">
        <v>3742.793705</v>
      </c>
      <c r="D479" s="151">
        <v>1.08</v>
      </c>
      <c r="E479" s="151" t="s">
        <v>305</v>
      </c>
      <c r="F479" s="152">
        <v>44526</v>
      </c>
      <c r="G479" s="155">
        <f t="shared" si="7"/>
        <v>6043.1853300454104</v>
      </c>
    </row>
    <row r="480" spans="1:7" x14ac:dyDescent="0.3">
      <c r="A480" s="151">
        <v>760199</v>
      </c>
      <c r="B480" s="152">
        <v>44529</v>
      </c>
      <c r="C480" s="153">
        <v>3744.70874</v>
      </c>
      <c r="D480" s="151">
        <v>1.08</v>
      </c>
      <c r="E480" s="151" t="s">
        <v>305</v>
      </c>
      <c r="F480" s="152">
        <v>44526</v>
      </c>
      <c r="G480" s="155">
        <f t="shared" si="7"/>
        <v>6046.277381686692</v>
      </c>
    </row>
    <row r="481" spans="1:7" x14ac:dyDescent="0.3">
      <c r="A481" s="151">
        <v>760199</v>
      </c>
      <c r="B481" s="152">
        <v>44530</v>
      </c>
      <c r="C481" s="153">
        <v>3746.6247549999998</v>
      </c>
      <c r="D481" s="151">
        <v>1.08</v>
      </c>
      <c r="E481" s="151" t="s">
        <v>305</v>
      </c>
      <c r="F481" s="152">
        <v>44526</v>
      </c>
      <c r="G481" s="155">
        <f t="shared" si="7"/>
        <v>6049.371015654463</v>
      </c>
    </row>
    <row r="482" spans="1:7" x14ac:dyDescent="0.3">
      <c r="A482" s="151">
        <v>760199</v>
      </c>
      <c r="B482" s="152">
        <v>44531</v>
      </c>
      <c r="C482" s="153">
        <v>3748.5417499999999</v>
      </c>
      <c r="D482" s="151">
        <v>1.08</v>
      </c>
      <c r="E482" s="151" t="s">
        <v>305</v>
      </c>
      <c r="F482" s="152">
        <v>44526</v>
      </c>
      <c r="G482" s="155">
        <f t="shared" si="7"/>
        <v>6052.4662319487234</v>
      </c>
    </row>
    <row r="483" spans="1:7" x14ac:dyDescent="0.3">
      <c r="A483" s="151">
        <v>760199</v>
      </c>
      <c r="B483" s="152">
        <v>44532</v>
      </c>
      <c r="C483" s="153">
        <v>3750.459726</v>
      </c>
      <c r="D483" s="151">
        <v>1.08</v>
      </c>
      <c r="E483" s="151" t="s">
        <v>305</v>
      </c>
      <c r="F483" s="152">
        <v>44526</v>
      </c>
      <c r="G483" s="155">
        <f t="shared" si="7"/>
        <v>6055.5630321840918</v>
      </c>
    </row>
    <row r="484" spans="1:7" x14ac:dyDescent="0.3">
      <c r="A484" s="151">
        <v>760199</v>
      </c>
      <c r="B484" s="152">
        <v>44533</v>
      </c>
      <c r="C484" s="153">
        <v>3752.3786829999999</v>
      </c>
      <c r="D484" s="151">
        <v>1.08</v>
      </c>
      <c r="E484" s="151" t="s">
        <v>305</v>
      </c>
      <c r="F484" s="152">
        <v>44526</v>
      </c>
      <c r="G484" s="155">
        <f t="shared" si="7"/>
        <v>6058.6614163605673</v>
      </c>
    </row>
    <row r="485" spans="1:7" x14ac:dyDescent="0.3">
      <c r="A485" s="151">
        <v>760199</v>
      </c>
      <c r="B485" s="152">
        <v>44536</v>
      </c>
      <c r="C485" s="153">
        <v>3754.2986230000001</v>
      </c>
      <c r="D485" s="151">
        <v>1.08</v>
      </c>
      <c r="E485" s="151" t="s">
        <v>305</v>
      </c>
      <c r="F485" s="152">
        <v>44526</v>
      </c>
      <c r="G485" s="155">
        <f t="shared" si="7"/>
        <v>6061.7613877073909</v>
      </c>
    </row>
    <row r="486" spans="1:7" x14ac:dyDescent="0.3">
      <c r="A486" s="151">
        <v>760199</v>
      </c>
      <c r="B486" s="152">
        <v>44537</v>
      </c>
      <c r="C486" s="153">
        <v>3756.219544</v>
      </c>
      <c r="D486" s="151">
        <v>1.08</v>
      </c>
      <c r="E486" s="151" t="s">
        <v>305</v>
      </c>
      <c r="F486" s="152">
        <v>44526</v>
      </c>
      <c r="G486" s="155">
        <f t="shared" si="7"/>
        <v>6064.8629429953216</v>
      </c>
    </row>
    <row r="487" spans="1:7" x14ac:dyDescent="0.3">
      <c r="A487" s="151">
        <v>760199</v>
      </c>
      <c r="B487" s="152">
        <v>44538</v>
      </c>
      <c r="C487" s="153">
        <v>3758.1414490000002</v>
      </c>
      <c r="D487" s="151">
        <v>1.08</v>
      </c>
      <c r="E487" s="151" t="s">
        <v>305</v>
      </c>
      <c r="F487" s="152">
        <v>44526</v>
      </c>
      <c r="G487" s="155">
        <f t="shared" si="7"/>
        <v>6067.9660870682164</v>
      </c>
    </row>
    <row r="488" spans="1:7" x14ac:dyDescent="0.3">
      <c r="A488" s="151">
        <v>760199</v>
      </c>
      <c r="B488" s="152">
        <v>44539</v>
      </c>
      <c r="C488" s="153">
        <v>3760.0643369999998</v>
      </c>
      <c r="D488" s="151">
        <v>1.08</v>
      </c>
      <c r="E488" s="151" t="s">
        <v>305</v>
      </c>
      <c r="F488" s="152">
        <v>44526</v>
      </c>
      <c r="G488" s="155">
        <f t="shared" si="7"/>
        <v>6071.0708183114575</v>
      </c>
    </row>
    <row r="489" spans="1:7" x14ac:dyDescent="0.3">
      <c r="A489" s="151">
        <v>760199</v>
      </c>
      <c r="B489" s="152">
        <v>44540</v>
      </c>
      <c r="C489" s="153">
        <v>3757.842889</v>
      </c>
      <c r="D489" s="151">
        <v>0.95</v>
      </c>
      <c r="E489" s="151" t="s">
        <v>9</v>
      </c>
      <c r="F489" s="152">
        <v>44540</v>
      </c>
      <c r="G489" s="155">
        <f t="shared" si="7"/>
        <v>6067.4840264593922</v>
      </c>
    </row>
    <row r="490" spans="1:7" x14ac:dyDescent="0.3">
      <c r="A490" s="151">
        <v>760199</v>
      </c>
      <c r="B490" s="152">
        <v>44543</v>
      </c>
      <c r="C490" s="153">
        <v>3759.5353449999998</v>
      </c>
      <c r="D490" s="151">
        <v>0.95</v>
      </c>
      <c r="E490" s="151" t="s">
        <v>9</v>
      </c>
      <c r="F490" s="152">
        <v>44540</v>
      </c>
      <c r="G490" s="155">
        <f t="shared" si="7"/>
        <v>6070.2166978479554</v>
      </c>
    </row>
    <row r="491" spans="1:7" x14ac:dyDescent="0.3">
      <c r="A491" s="151">
        <v>760199</v>
      </c>
      <c r="B491" s="152">
        <v>44544</v>
      </c>
      <c r="C491" s="153">
        <v>3761.2285630000001</v>
      </c>
      <c r="D491" s="151">
        <v>0.95</v>
      </c>
      <c r="E491" s="151" t="s">
        <v>9</v>
      </c>
      <c r="F491" s="152">
        <v>44540</v>
      </c>
      <c r="G491" s="155">
        <f t="shared" si="7"/>
        <v>6072.9505995760946</v>
      </c>
    </row>
    <row r="492" spans="1:7" x14ac:dyDescent="0.3">
      <c r="A492" s="151">
        <v>760199</v>
      </c>
      <c r="B492" s="152">
        <v>44545</v>
      </c>
      <c r="C492" s="153">
        <v>3762.9225449999999</v>
      </c>
      <c r="D492" s="151">
        <v>0.95</v>
      </c>
      <c r="E492" s="151" t="s">
        <v>9</v>
      </c>
      <c r="F492" s="152">
        <v>44540</v>
      </c>
      <c r="G492" s="155">
        <f t="shared" si="7"/>
        <v>6075.6857348730482</v>
      </c>
    </row>
    <row r="493" spans="1:7" x14ac:dyDescent="0.3">
      <c r="A493" s="151">
        <v>760199</v>
      </c>
      <c r="B493" s="152">
        <v>44546</v>
      </c>
      <c r="C493" s="153">
        <v>3764.0477129999999</v>
      </c>
      <c r="D493" s="151">
        <v>0.69</v>
      </c>
      <c r="E493" s="151" t="s">
        <v>305</v>
      </c>
      <c r="F493" s="152">
        <v>44546</v>
      </c>
      <c r="G493" s="155">
        <f t="shared" si="7"/>
        <v>6077.5024523539905</v>
      </c>
    </row>
    <row r="494" spans="1:7" x14ac:dyDescent="0.3">
      <c r="A494" s="151">
        <v>760199</v>
      </c>
      <c r="B494" s="152">
        <v>44547</v>
      </c>
      <c r="C494" s="153">
        <v>3765.173217</v>
      </c>
      <c r="D494" s="151">
        <v>0.69</v>
      </c>
      <c r="E494" s="151" t="s">
        <v>305</v>
      </c>
      <c r="F494" s="152">
        <v>44546</v>
      </c>
      <c r="G494" s="155">
        <f t="shared" si="7"/>
        <v>6079.3197123468735</v>
      </c>
    </row>
    <row r="495" spans="1:7" x14ac:dyDescent="0.3">
      <c r="A495" s="151">
        <v>760199</v>
      </c>
      <c r="B495" s="152">
        <v>44550</v>
      </c>
      <c r="C495" s="153">
        <v>3766.2990580000001</v>
      </c>
      <c r="D495" s="151">
        <v>0.69</v>
      </c>
      <c r="E495" s="151" t="s">
        <v>305</v>
      </c>
      <c r="F495" s="152">
        <v>44546</v>
      </c>
      <c r="G495" s="155">
        <f t="shared" si="7"/>
        <v>6081.1375164663141</v>
      </c>
    </row>
    <row r="496" spans="1:7" x14ac:dyDescent="0.3">
      <c r="A496" s="151">
        <v>760199</v>
      </c>
      <c r="B496" s="152">
        <v>44551</v>
      </c>
      <c r="C496" s="153">
        <v>3767.425236</v>
      </c>
      <c r="D496" s="151">
        <v>0.69</v>
      </c>
      <c r="E496" s="151" t="s">
        <v>305</v>
      </c>
      <c r="F496" s="152">
        <v>44546</v>
      </c>
      <c r="G496" s="155">
        <f t="shared" si="7"/>
        <v>6082.9558647123122</v>
      </c>
    </row>
    <row r="497" spans="1:7" x14ac:dyDescent="0.3">
      <c r="A497" s="151">
        <v>760199</v>
      </c>
      <c r="B497" s="152">
        <v>44552</v>
      </c>
      <c r="C497" s="153">
        <v>3768.551751</v>
      </c>
      <c r="D497" s="151">
        <v>0.69</v>
      </c>
      <c r="E497" s="151" t="s">
        <v>305</v>
      </c>
      <c r="F497" s="152">
        <v>44546</v>
      </c>
      <c r="G497" s="155">
        <f t="shared" si="7"/>
        <v>6084.7747570848678</v>
      </c>
    </row>
    <row r="498" spans="1:7" x14ac:dyDescent="0.3">
      <c r="A498" s="151">
        <v>760199</v>
      </c>
      <c r="B498" s="152">
        <v>44553</v>
      </c>
      <c r="C498" s="153">
        <v>3769.678602</v>
      </c>
      <c r="D498" s="151">
        <v>0.69</v>
      </c>
      <c r="E498" s="151" t="s">
        <v>305</v>
      </c>
      <c r="F498" s="152">
        <v>44546</v>
      </c>
      <c r="G498" s="155">
        <f t="shared" si="7"/>
        <v>6086.5941919693632</v>
      </c>
    </row>
    <row r="499" spans="1:7" x14ac:dyDescent="0.3">
      <c r="A499" s="151">
        <v>760199</v>
      </c>
      <c r="B499" s="152">
        <v>44554</v>
      </c>
      <c r="C499" s="153">
        <v>3770.0077569999999</v>
      </c>
      <c r="D499" s="151">
        <v>0.62</v>
      </c>
      <c r="E499" s="151" t="s">
        <v>305</v>
      </c>
      <c r="F499" s="152">
        <v>44554</v>
      </c>
      <c r="G499" s="155">
        <f t="shared" si="7"/>
        <v>6087.1256518424125</v>
      </c>
    </row>
    <row r="500" spans="1:7" x14ac:dyDescent="0.3">
      <c r="A500" s="151">
        <v>760199</v>
      </c>
      <c r="B500" s="152">
        <v>44557</v>
      </c>
      <c r="C500" s="153">
        <v>3771.0210189999998</v>
      </c>
      <c r="D500" s="151">
        <v>0.62</v>
      </c>
      <c r="E500" s="151" t="s">
        <v>305</v>
      </c>
      <c r="F500" s="152">
        <v>44554</v>
      </c>
      <c r="G500" s="155">
        <f t="shared" si="7"/>
        <v>6088.7616837844653</v>
      </c>
    </row>
    <row r="501" spans="1:7" x14ac:dyDescent="0.3">
      <c r="A501" s="151">
        <v>760199</v>
      </c>
      <c r="B501" s="152">
        <v>44558</v>
      </c>
      <c r="C501" s="153">
        <v>3772.0345520000001</v>
      </c>
      <c r="D501" s="151">
        <v>0.62</v>
      </c>
      <c r="E501" s="151" t="s">
        <v>305</v>
      </c>
      <c r="F501" s="152">
        <v>44554</v>
      </c>
      <c r="G501" s="155">
        <f t="shared" si="7"/>
        <v>6090.3981532882308</v>
      </c>
    </row>
    <row r="502" spans="1:7" x14ac:dyDescent="0.3">
      <c r="A502" s="151">
        <v>760199</v>
      </c>
      <c r="B502" s="152">
        <v>44559</v>
      </c>
      <c r="C502" s="153">
        <v>3773.0483589999999</v>
      </c>
      <c r="D502" s="151">
        <v>0.62</v>
      </c>
      <c r="E502" s="151" t="s">
        <v>305</v>
      </c>
      <c r="F502" s="152">
        <v>44554</v>
      </c>
      <c r="G502" s="155">
        <f t="shared" si="7"/>
        <v>6092.0350651975659</v>
      </c>
    </row>
    <row r="503" spans="1:7" x14ac:dyDescent="0.3">
      <c r="A503" s="151">
        <v>760199</v>
      </c>
      <c r="B503" s="152">
        <v>44560</v>
      </c>
      <c r="C503" s="153">
        <v>3774.0624379999999</v>
      </c>
      <c r="D503" s="151">
        <v>0.62</v>
      </c>
      <c r="E503" s="151" t="s">
        <v>305</v>
      </c>
      <c r="F503" s="152">
        <v>44554</v>
      </c>
      <c r="G503" s="155">
        <f t="shared" si="7"/>
        <v>6093.6724162832325</v>
      </c>
    </row>
    <row r="504" spans="1:7" x14ac:dyDescent="0.3">
      <c r="A504" s="151">
        <v>760199</v>
      </c>
      <c r="B504" s="152">
        <v>44561</v>
      </c>
      <c r="C504" s="153">
        <v>3775.0767890000002</v>
      </c>
      <c r="D504" s="151">
        <v>0.62</v>
      </c>
      <c r="E504" s="151" t="s">
        <v>305</v>
      </c>
      <c r="F504" s="152">
        <v>44554</v>
      </c>
      <c r="G504" s="155">
        <f t="shared" si="7"/>
        <v>6095.3102065452313</v>
      </c>
    </row>
    <row r="505" spans="1:7" x14ac:dyDescent="0.3">
      <c r="A505" s="151">
        <v>760199</v>
      </c>
      <c r="B505" s="152">
        <v>44564</v>
      </c>
      <c r="C505" s="153">
        <v>3776.0914130000001</v>
      </c>
      <c r="D505" s="151">
        <v>0.62</v>
      </c>
      <c r="E505" s="151" t="s">
        <v>305</v>
      </c>
      <c r="F505" s="152">
        <v>44554</v>
      </c>
      <c r="G505" s="155">
        <f t="shared" si="7"/>
        <v>6096.9484375981801</v>
      </c>
    </row>
    <row r="506" spans="1:7" x14ac:dyDescent="0.3">
      <c r="A506" s="151">
        <v>760199</v>
      </c>
      <c r="B506" s="152">
        <v>44565</v>
      </c>
      <c r="C506" s="153">
        <v>3777.1063100000001</v>
      </c>
      <c r="D506" s="151">
        <v>0.62</v>
      </c>
      <c r="E506" s="151" t="s">
        <v>305</v>
      </c>
      <c r="F506" s="152">
        <v>44554</v>
      </c>
      <c r="G506" s="155">
        <f t="shared" si="7"/>
        <v>6098.5871094420791</v>
      </c>
    </row>
    <row r="507" spans="1:7" x14ac:dyDescent="0.3">
      <c r="A507" s="151">
        <v>760199</v>
      </c>
      <c r="B507" s="152">
        <v>44566</v>
      </c>
      <c r="C507" s="153">
        <v>3778.1214789999999</v>
      </c>
      <c r="D507" s="151">
        <v>0.62</v>
      </c>
      <c r="E507" s="151" t="s">
        <v>305</v>
      </c>
      <c r="F507" s="152">
        <v>44554</v>
      </c>
      <c r="G507" s="155">
        <f t="shared" si="7"/>
        <v>6100.2262204623094</v>
      </c>
    </row>
    <row r="508" spans="1:7" x14ac:dyDescent="0.3">
      <c r="A508" s="151">
        <v>760199</v>
      </c>
      <c r="B508" s="152">
        <v>44567</v>
      </c>
      <c r="C508" s="153">
        <v>3779.1369220000001</v>
      </c>
      <c r="D508" s="151">
        <v>0.62</v>
      </c>
      <c r="E508" s="151" t="s">
        <v>305</v>
      </c>
      <c r="F508" s="152">
        <v>44554</v>
      </c>
      <c r="G508" s="155">
        <f t="shared" si="7"/>
        <v>6101.8657738881093</v>
      </c>
    </row>
    <row r="509" spans="1:7" x14ac:dyDescent="0.3">
      <c r="A509" s="151">
        <v>760199</v>
      </c>
      <c r="B509" s="152">
        <v>44568</v>
      </c>
      <c r="C509" s="153">
        <v>3780.1526370000001</v>
      </c>
      <c r="D509" s="151">
        <v>0.62</v>
      </c>
      <c r="E509" s="151" t="s">
        <v>305</v>
      </c>
      <c r="F509" s="152">
        <v>44554</v>
      </c>
      <c r="G509" s="155">
        <f t="shared" si="7"/>
        <v>6103.5057664902424</v>
      </c>
    </row>
    <row r="510" spans="1:7" x14ac:dyDescent="0.3">
      <c r="A510" s="151">
        <v>760199</v>
      </c>
      <c r="B510" s="152">
        <v>44571</v>
      </c>
      <c r="C510" s="153">
        <v>3781.1686249999998</v>
      </c>
      <c r="D510" s="151">
        <v>0.62</v>
      </c>
      <c r="E510" s="151" t="s">
        <v>305</v>
      </c>
      <c r="F510" s="152">
        <v>44554</v>
      </c>
      <c r="G510" s="155">
        <f t="shared" si="7"/>
        <v>6105.1461998833247</v>
      </c>
    </row>
    <row r="511" spans="1:7" x14ac:dyDescent="0.3">
      <c r="A511" s="151">
        <v>760199</v>
      </c>
      <c r="B511" s="152">
        <v>44572</v>
      </c>
      <c r="C511" s="153">
        <v>3785.5989439999998</v>
      </c>
      <c r="D511" s="151">
        <v>0.73</v>
      </c>
      <c r="E511" s="151" t="s">
        <v>9</v>
      </c>
      <c r="F511" s="152">
        <v>44572</v>
      </c>
      <c r="G511" s="155">
        <f t="shared" si="7"/>
        <v>6112.2994765259718</v>
      </c>
    </row>
    <row r="512" spans="1:7" x14ac:dyDescent="0.3">
      <c r="A512" s="151">
        <v>760199</v>
      </c>
      <c r="B512" s="152">
        <v>44573</v>
      </c>
      <c r="C512" s="153">
        <v>3786.7962170000001</v>
      </c>
      <c r="D512" s="151">
        <v>0.73</v>
      </c>
      <c r="E512" s="151" t="s">
        <v>9</v>
      </c>
      <c r="F512" s="152">
        <v>44572</v>
      </c>
      <c r="G512" s="155">
        <f t="shared" si="7"/>
        <v>6114.2326161002939</v>
      </c>
    </row>
    <row r="513" spans="1:7" x14ac:dyDescent="0.3">
      <c r="A513" s="151">
        <v>760199</v>
      </c>
      <c r="B513" s="152">
        <v>44574</v>
      </c>
      <c r="C513" s="153">
        <v>3787.993868</v>
      </c>
      <c r="D513" s="151">
        <v>0.73</v>
      </c>
      <c r="E513" s="151" t="s">
        <v>9</v>
      </c>
      <c r="F513" s="152">
        <v>44572</v>
      </c>
      <c r="G513" s="155">
        <f t="shared" si="7"/>
        <v>6116.166366000547</v>
      </c>
    </row>
    <row r="514" spans="1:7" x14ac:dyDescent="0.3">
      <c r="A514" s="151">
        <v>760199</v>
      </c>
      <c r="B514" s="152">
        <v>44575</v>
      </c>
      <c r="C514" s="153">
        <v>3789.1918989999999</v>
      </c>
      <c r="D514" s="151">
        <v>0.73</v>
      </c>
      <c r="E514" s="151" t="s">
        <v>9</v>
      </c>
      <c r="F514" s="152">
        <v>44572</v>
      </c>
      <c r="G514" s="155">
        <f t="shared" si="7"/>
        <v>6118.1007294559695</v>
      </c>
    </row>
    <row r="515" spans="1:7" x14ac:dyDescent="0.3">
      <c r="A515" s="151">
        <v>760199</v>
      </c>
      <c r="B515" s="152">
        <v>44578</v>
      </c>
      <c r="C515" s="153">
        <v>3790.390308</v>
      </c>
      <c r="D515" s="151">
        <v>0.73</v>
      </c>
      <c r="E515" s="151" t="s">
        <v>9</v>
      </c>
      <c r="F515" s="152">
        <v>44572</v>
      </c>
      <c r="G515" s="155">
        <f t="shared" si="7"/>
        <v>6120.035703237324</v>
      </c>
    </row>
    <row r="516" spans="1:7" x14ac:dyDescent="0.3">
      <c r="A516" s="151">
        <v>760199</v>
      </c>
      <c r="B516" s="152">
        <v>44579</v>
      </c>
      <c r="C516" s="153">
        <v>3791.2007990000002</v>
      </c>
      <c r="D516" s="151">
        <v>0.45</v>
      </c>
      <c r="E516" s="151" t="s">
        <v>305</v>
      </c>
      <c r="F516" s="152">
        <v>44579</v>
      </c>
      <c r="G516" s="155">
        <f t="shared" si="7"/>
        <v>6121.3443372971687</v>
      </c>
    </row>
    <row r="517" spans="1:7" x14ac:dyDescent="0.3">
      <c r="A517" s="151">
        <v>760199</v>
      </c>
      <c r="B517" s="152">
        <v>44580</v>
      </c>
      <c r="C517" s="153">
        <v>3792.0114629999998</v>
      </c>
      <c r="D517" s="151">
        <v>0.45</v>
      </c>
      <c r="E517" s="151" t="s">
        <v>305</v>
      </c>
      <c r="F517" s="152">
        <v>44579</v>
      </c>
      <c r="G517" s="155">
        <f t="shared" ref="G517:G580" si="8">+C517/C516*G516</f>
        <v>6122.6532506860767</v>
      </c>
    </row>
    <row r="518" spans="1:7" x14ac:dyDescent="0.3">
      <c r="A518" s="151">
        <v>760199</v>
      </c>
      <c r="B518" s="152">
        <v>44581</v>
      </c>
      <c r="C518" s="153">
        <v>3792.8223010000002</v>
      </c>
      <c r="D518" s="151">
        <v>0.45</v>
      </c>
      <c r="E518" s="151" t="s">
        <v>305</v>
      </c>
      <c r="F518" s="152">
        <v>44579</v>
      </c>
      <c r="G518" s="155">
        <f t="shared" si="8"/>
        <v>6123.9624450186684</v>
      </c>
    </row>
    <row r="519" spans="1:7" x14ac:dyDescent="0.3">
      <c r="A519" s="151">
        <v>760199</v>
      </c>
      <c r="B519" s="152">
        <v>44582</v>
      </c>
      <c r="C519" s="153">
        <v>3793.6333119999999</v>
      </c>
      <c r="D519" s="151">
        <v>0.45</v>
      </c>
      <c r="E519" s="151" t="s">
        <v>305</v>
      </c>
      <c r="F519" s="152">
        <v>44579</v>
      </c>
      <c r="G519" s="155">
        <f t="shared" si="8"/>
        <v>6125.2719186803233</v>
      </c>
    </row>
    <row r="520" spans="1:7" x14ac:dyDescent="0.3">
      <c r="A520" s="151">
        <v>760199</v>
      </c>
      <c r="B520" s="152">
        <v>44585</v>
      </c>
      <c r="C520" s="153">
        <v>3794.4444960000001</v>
      </c>
      <c r="D520" s="151">
        <v>0.45</v>
      </c>
      <c r="E520" s="151" t="s">
        <v>305</v>
      </c>
      <c r="F520" s="152">
        <v>44579</v>
      </c>
      <c r="G520" s="155">
        <f t="shared" si="8"/>
        <v>6126.5816716710424</v>
      </c>
    </row>
    <row r="521" spans="1:7" x14ac:dyDescent="0.3">
      <c r="A521" s="151">
        <v>760199</v>
      </c>
      <c r="B521" s="152">
        <v>44586</v>
      </c>
      <c r="C521" s="153">
        <v>3795.255854</v>
      </c>
      <c r="D521" s="151">
        <v>0.45</v>
      </c>
      <c r="E521" s="151" t="s">
        <v>305</v>
      </c>
      <c r="F521" s="152">
        <v>44579</v>
      </c>
      <c r="G521" s="155">
        <f t="shared" si="8"/>
        <v>6127.8917056054443</v>
      </c>
    </row>
    <row r="522" spans="1:7" x14ac:dyDescent="0.3">
      <c r="A522" s="151">
        <v>760199</v>
      </c>
      <c r="B522" s="152">
        <v>44587</v>
      </c>
      <c r="C522" s="153">
        <v>3796.0673860000002</v>
      </c>
      <c r="D522" s="151">
        <v>0.45</v>
      </c>
      <c r="E522" s="151" t="s">
        <v>305</v>
      </c>
      <c r="F522" s="152">
        <v>44579</v>
      </c>
      <c r="G522" s="155">
        <f t="shared" si="8"/>
        <v>6129.2020204835289</v>
      </c>
    </row>
    <row r="523" spans="1:7" x14ac:dyDescent="0.3">
      <c r="A523" s="151">
        <v>760199</v>
      </c>
      <c r="B523" s="152">
        <v>44588</v>
      </c>
      <c r="C523" s="153">
        <v>3798.3185979999998</v>
      </c>
      <c r="D523" s="151">
        <v>0.55000000000000004</v>
      </c>
      <c r="E523" s="151" t="s">
        <v>305</v>
      </c>
      <c r="F523" s="152">
        <v>44588</v>
      </c>
      <c r="G523" s="155">
        <f t="shared" si="8"/>
        <v>6132.8368698515415</v>
      </c>
    </row>
    <row r="524" spans="1:7" x14ac:dyDescent="0.3">
      <c r="A524" s="151">
        <v>760199</v>
      </c>
      <c r="B524" s="152">
        <v>44589</v>
      </c>
      <c r="C524" s="153">
        <v>3799.3107989999999</v>
      </c>
      <c r="D524" s="151">
        <v>0.55000000000000004</v>
      </c>
      <c r="E524" s="151" t="s">
        <v>305</v>
      </c>
      <c r="F524" s="152">
        <v>44588</v>
      </c>
      <c r="G524" s="155">
        <f t="shared" si="8"/>
        <v>6134.4388963056435</v>
      </c>
    </row>
    <row r="525" spans="1:7" x14ac:dyDescent="0.3">
      <c r="A525" s="151">
        <v>760199</v>
      </c>
      <c r="B525" s="152">
        <v>44592</v>
      </c>
      <c r="C525" s="153">
        <v>3800.3032600000001</v>
      </c>
      <c r="D525" s="151">
        <v>0.55000000000000004</v>
      </c>
      <c r="E525" s="151" t="s">
        <v>305</v>
      </c>
      <c r="F525" s="152">
        <v>44588</v>
      </c>
      <c r="G525" s="155">
        <f t="shared" si="8"/>
        <v>6136.0413425606512</v>
      </c>
    </row>
    <row r="526" spans="1:7" x14ac:dyDescent="0.3">
      <c r="A526" s="151">
        <v>760199</v>
      </c>
      <c r="B526" s="152">
        <v>44593</v>
      </c>
      <c r="C526" s="153">
        <v>3801.2959799999999</v>
      </c>
      <c r="D526" s="151">
        <v>0.55000000000000004</v>
      </c>
      <c r="E526" s="151" t="s">
        <v>305</v>
      </c>
      <c r="F526" s="152">
        <v>44588</v>
      </c>
      <c r="G526" s="155">
        <f t="shared" si="8"/>
        <v>6137.6442070019448</v>
      </c>
    </row>
    <row r="527" spans="1:7" x14ac:dyDescent="0.3">
      <c r="A527" s="151">
        <v>760199</v>
      </c>
      <c r="B527" s="152">
        <v>44594</v>
      </c>
      <c r="C527" s="153">
        <v>3802.288959</v>
      </c>
      <c r="D527" s="151">
        <v>0.55000000000000004</v>
      </c>
      <c r="E527" s="151" t="s">
        <v>305</v>
      </c>
      <c r="F527" s="152">
        <v>44588</v>
      </c>
      <c r="G527" s="155">
        <f t="shared" si="8"/>
        <v>6139.2474896295253</v>
      </c>
    </row>
    <row r="528" spans="1:7" x14ac:dyDescent="0.3">
      <c r="A528" s="151">
        <v>760199</v>
      </c>
      <c r="B528" s="152">
        <v>44595</v>
      </c>
      <c r="C528" s="153">
        <v>3803.2821979999999</v>
      </c>
      <c r="D528" s="151">
        <v>0.55000000000000004</v>
      </c>
      <c r="E528" s="151" t="s">
        <v>305</v>
      </c>
      <c r="F528" s="152">
        <v>44588</v>
      </c>
      <c r="G528" s="155">
        <f t="shared" si="8"/>
        <v>6140.8511920580104</v>
      </c>
    </row>
    <row r="529" spans="1:7" x14ac:dyDescent="0.3">
      <c r="A529" s="151">
        <v>760199</v>
      </c>
      <c r="B529" s="152">
        <v>44596</v>
      </c>
      <c r="C529" s="153">
        <v>3804.2756960000002</v>
      </c>
      <c r="D529" s="151">
        <v>0.55000000000000004</v>
      </c>
      <c r="E529" s="151" t="s">
        <v>305</v>
      </c>
      <c r="F529" s="152">
        <v>44588</v>
      </c>
      <c r="G529" s="155">
        <f t="shared" si="8"/>
        <v>6142.4553126727833</v>
      </c>
    </row>
    <row r="530" spans="1:7" x14ac:dyDescent="0.3">
      <c r="A530" s="151">
        <v>760199</v>
      </c>
      <c r="B530" s="152">
        <v>44599</v>
      </c>
      <c r="C530" s="153">
        <v>3805.2694540000002</v>
      </c>
      <c r="D530" s="151">
        <v>0.55000000000000004</v>
      </c>
      <c r="E530" s="151" t="s">
        <v>305</v>
      </c>
      <c r="F530" s="152">
        <v>44588</v>
      </c>
      <c r="G530" s="155">
        <f t="shared" si="8"/>
        <v>6144.0598530884608</v>
      </c>
    </row>
    <row r="531" spans="1:7" x14ac:dyDescent="0.3">
      <c r="A531" s="151">
        <v>760199</v>
      </c>
      <c r="B531" s="152">
        <v>44600</v>
      </c>
      <c r="C531" s="153">
        <v>3806.2634710000002</v>
      </c>
      <c r="D531" s="151">
        <v>0.55000000000000004</v>
      </c>
      <c r="E531" s="151" t="s">
        <v>305</v>
      </c>
      <c r="F531" s="152">
        <v>44588</v>
      </c>
      <c r="G531" s="155">
        <f t="shared" si="8"/>
        <v>6145.6648116904253</v>
      </c>
    </row>
    <row r="532" spans="1:7" x14ac:dyDescent="0.3">
      <c r="A532" s="151">
        <v>760199</v>
      </c>
      <c r="B532" s="152">
        <v>44601</v>
      </c>
      <c r="C532" s="153">
        <v>3806.9521180000002</v>
      </c>
      <c r="D532" s="151">
        <v>0.54</v>
      </c>
      <c r="E532" s="151" t="s">
        <v>9</v>
      </c>
      <c r="F532" s="152">
        <v>44601</v>
      </c>
      <c r="G532" s="155">
        <f t="shared" si="8"/>
        <v>6146.7767141290824</v>
      </c>
    </row>
    <row r="533" spans="1:7" x14ac:dyDescent="0.3">
      <c r="A533" s="151">
        <v>760199</v>
      </c>
      <c r="B533" s="152">
        <v>44602</v>
      </c>
      <c r="C533" s="153">
        <v>3807.9285930000001</v>
      </c>
      <c r="D533" s="151">
        <v>0.54</v>
      </c>
      <c r="E533" s="151" t="s">
        <v>9</v>
      </c>
      <c r="F533" s="152">
        <v>44601</v>
      </c>
      <c r="G533" s="155">
        <f t="shared" si="8"/>
        <v>6148.3533490868876</v>
      </c>
    </row>
    <row r="534" spans="1:7" x14ac:dyDescent="0.3">
      <c r="A534" s="151">
        <v>760199</v>
      </c>
      <c r="B534" s="152">
        <v>44603</v>
      </c>
      <c r="C534" s="153">
        <v>3808.9053180000001</v>
      </c>
      <c r="D534" s="151">
        <v>0.54</v>
      </c>
      <c r="E534" s="151" t="s">
        <v>9</v>
      </c>
      <c r="F534" s="152">
        <v>44601</v>
      </c>
      <c r="G534" s="155">
        <f t="shared" si="8"/>
        <v>6149.9303876994099</v>
      </c>
    </row>
    <row r="535" spans="1:7" x14ac:dyDescent="0.3">
      <c r="A535" s="151">
        <v>760199</v>
      </c>
      <c r="B535" s="152">
        <v>44606</v>
      </c>
      <c r="C535" s="153">
        <v>3809.882294</v>
      </c>
      <c r="D535" s="151">
        <v>0.54</v>
      </c>
      <c r="E535" s="151" t="s">
        <v>9</v>
      </c>
      <c r="F535" s="152">
        <v>44601</v>
      </c>
      <c r="G535" s="155">
        <f t="shared" si="8"/>
        <v>6151.5078315812661</v>
      </c>
    </row>
    <row r="536" spans="1:7" x14ac:dyDescent="0.3">
      <c r="A536" s="151">
        <v>760199</v>
      </c>
      <c r="B536" s="152">
        <v>44607</v>
      </c>
      <c r="C536" s="153">
        <v>3810.8595209999999</v>
      </c>
      <c r="D536" s="151">
        <v>0.54</v>
      </c>
      <c r="E536" s="151" t="s">
        <v>9</v>
      </c>
      <c r="F536" s="152">
        <v>44601</v>
      </c>
      <c r="G536" s="155">
        <f t="shared" si="8"/>
        <v>6153.0856807324581</v>
      </c>
    </row>
    <row r="537" spans="1:7" x14ac:dyDescent="0.3">
      <c r="A537" s="151">
        <v>760199</v>
      </c>
      <c r="B537" s="152">
        <v>44608</v>
      </c>
      <c r="C537" s="153">
        <v>3812.735905</v>
      </c>
      <c r="D537" s="151">
        <v>0.89</v>
      </c>
      <c r="E537" s="151" t="s">
        <v>305</v>
      </c>
      <c r="F537" s="152">
        <v>44608</v>
      </c>
      <c r="G537" s="155">
        <f t="shared" si="8"/>
        <v>6156.1153257399255</v>
      </c>
    </row>
    <row r="538" spans="1:7" x14ac:dyDescent="0.3">
      <c r="A538" s="151">
        <v>760199</v>
      </c>
      <c r="B538" s="152">
        <v>44609</v>
      </c>
      <c r="C538" s="153">
        <v>3814.613214</v>
      </c>
      <c r="D538" s="151">
        <v>0.89</v>
      </c>
      <c r="E538" s="151" t="s">
        <v>305</v>
      </c>
      <c r="F538" s="152">
        <v>44608</v>
      </c>
      <c r="G538" s="155">
        <f t="shared" si="8"/>
        <v>6159.1464642698438</v>
      </c>
    </row>
    <row r="539" spans="1:7" x14ac:dyDescent="0.3">
      <c r="A539" s="151">
        <v>760199</v>
      </c>
      <c r="B539" s="152">
        <v>44610</v>
      </c>
      <c r="C539" s="153">
        <v>3816.491446</v>
      </c>
      <c r="D539" s="151">
        <v>0.89</v>
      </c>
      <c r="E539" s="151" t="s">
        <v>305</v>
      </c>
      <c r="F539" s="152">
        <v>44608</v>
      </c>
      <c r="G539" s="155">
        <f t="shared" si="8"/>
        <v>6162.1790930929765</v>
      </c>
    </row>
    <row r="540" spans="1:7" x14ac:dyDescent="0.3">
      <c r="A540" s="151">
        <v>760199</v>
      </c>
      <c r="B540" s="152">
        <v>44613</v>
      </c>
      <c r="C540" s="153">
        <v>3818.3706040000002</v>
      </c>
      <c r="D540" s="151">
        <v>0.89</v>
      </c>
      <c r="E540" s="151" t="s">
        <v>305</v>
      </c>
      <c r="F540" s="152">
        <v>44608</v>
      </c>
      <c r="G540" s="155">
        <f t="shared" si="8"/>
        <v>6165.2132170531795</v>
      </c>
    </row>
    <row r="541" spans="1:7" x14ac:dyDescent="0.3">
      <c r="A541" s="151">
        <v>760199</v>
      </c>
      <c r="B541" s="152">
        <v>44614</v>
      </c>
      <c r="C541" s="153">
        <v>3820.2506870000002</v>
      </c>
      <c r="D541" s="151">
        <v>0.89</v>
      </c>
      <c r="E541" s="151" t="s">
        <v>305</v>
      </c>
      <c r="F541" s="152">
        <v>44608</v>
      </c>
      <c r="G541" s="155">
        <f t="shared" si="8"/>
        <v>6168.2488345358333</v>
      </c>
    </row>
    <row r="542" spans="1:7" x14ac:dyDescent="0.3">
      <c r="A542" s="151">
        <v>760199</v>
      </c>
      <c r="B542" s="152">
        <v>44615</v>
      </c>
      <c r="C542" s="153">
        <v>3822.131695</v>
      </c>
      <c r="D542" s="151">
        <v>0.89</v>
      </c>
      <c r="E542" s="151" t="s">
        <v>305</v>
      </c>
      <c r="F542" s="152">
        <v>44608</v>
      </c>
      <c r="G542" s="155">
        <f t="shared" si="8"/>
        <v>6171.2859455409389</v>
      </c>
    </row>
    <row r="543" spans="1:7" x14ac:dyDescent="0.3">
      <c r="A543" s="151">
        <v>760199</v>
      </c>
      <c r="B543" s="152">
        <v>44616</v>
      </c>
      <c r="C543" s="153">
        <v>3824.7505179999998</v>
      </c>
      <c r="D543" s="151">
        <v>0.94</v>
      </c>
      <c r="E543" s="151" t="s">
        <v>305</v>
      </c>
      <c r="F543" s="152">
        <v>44616</v>
      </c>
      <c r="G543" s="155">
        <f t="shared" si="8"/>
        <v>6175.5143465651372</v>
      </c>
    </row>
    <row r="544" spans="1:7" x14ac:dyDescent="0.3">
      <c r="A544" s="151">
        <v>760199</v>
      </c>
      <c r="B544" s="152">
        <v>44617</v>
      </c>
      <c r="C544" s="153">
        <v>3826.739075</v>
      </c>
      <c r="D544" s="151">
        <v>0.94</v>
      </c>
      <c r="E544" s="151" t="s">
        <v>305</v>
      </c>
      <c r="F544" s="152">
        <v>44616</v>
      </c>
      <c r="G544" s="155">
        <f t="shared" si="8"/>
        <v>6178.7251082147322</v>
      </c>
    </row>
    <row r="545" spans="1:7" x14ac:dyDescent="0.3">
      <c r="A545" s="151">
        <v>760199</v>
      </c>
      <c r="B545" s="152">
        <v>44622</v>
      </c>
      <c r="C545" s="153">
        <v>3828.728666</v>
      </c>
      <c r="D545" s="151">
        <v>0.94</v>
      </c>
      <c r="E545" s="151" t="s">
        <v>305</v>
      </c>
      <c r="F545" s="152">
        <v>44616</v>
      </c>
      <c r="G545" s="155">
        <f t="shared" si="8"/>
        <v>6181.9375393802356</v>
      </c>
    </row>
    <row r="546" spans="1:7" x14ac:dyDescent="0.3">
      <c r="A546" s="151">
        <v>760199</v>
      </c>
      <c r="B546" s="152">
        <v>44623</v>
      </c>
      <c r="C546" s="153">
        <v>3830.7192920000002</v>
      </c>
      <c r="D546" s="151">
        <v>0.94</v>
      </c>
      <c r="E546" s="151" t="s">
        <v>305</v>
      </c>
      <c r="F546" s="152">
        <v>44616</v>
      </c>
      <c r="G546" s="155">
        <f t="shared" si="8"/>
        <v>6185.1516416762661</v>
      </c>
    </row>
    <row r="547" spans="1:7" x14ac:dyDescent="0.3">
      <c r="A547" s="151">
        <v>760199</v>
      </c>
      <c r="B547" s="152">
        <v>44624</v>
      </c>
      <c r="C547" s="153">
        <v>3832.7109519999999</v>
      </c>
      <c r="D547" s="151">
        <v>0.94</v>
      </c>
      <c r="E547" s="151" t="s">
        <v>305</v>
      </c>
      <c r="F547" s="152">
        <v>44616</v>
      </c>
      <c r="G547" s="155">
        <f t="shared" si="8"/>
        <v>6188.367413488204</v>
      </c>
    </row>
    <row r="548" spans="1:7" x14ac:dyDescent="0.3">
      <c r="A548" s="151">
        <v>760199</v>
      </c>
      <c r="B548" s="152">
        <v>44627</v>
      </c>
      <c r="C548" s="153">
        <v>3834.7036480000002</v>
      </c>
      <c r="D548" s="151">
        <v>0.94</v>
      </c>
      <c r="E548" s="151" t="s">
        <v>305</v>
      </c>
      <c r="F548" s="152">
        <v>44616</v>
      </c>
      <c r="G548" s="155">
        <f t="shared" si="8"/>
        <v>6191.5848580452885</v>
      </c>
    </row>
    <row r="549" spans="1:7" x14ac:dyDescent="0.3">
      <c r="A549" s="151">
        <v>760199</v>
      </c>
      <c r="B549" s="152">
        <v>44628</v>
      </c>
      <c r="C549" s="153">
        <v>3836.6973800000001</v>
      </c>
      <c r="D549" s="151">
        <v>0.94</v>
      </c>
      <c r="E549" s="151" t="s">
        <v>305</v>
      </c>
      <c r="F549" s="152">
        <v>44616</v>
      </c>
      <c r="G549" s="155">
        <f t="shared" si="8"/>
        <v>6194.8039753475177</v>
      </c>
    </row>
    <row r="550" spans="1:7" x14ac:dyDescent="0.3">
      <c r="A550" s="151">
        <v>760199</v>
      </c>
      <c r="B550" s="152">
        <v>44629</v>
      </c>
      <c r="C550" s="153">
        <v>3838.692149</v>
      </c>
      <c r="D550" s="151">
        <v>0.94</v>
      </c>
      <c r="E550" s="151" t="s">
        <v>305</v>
      </c>
      <c r="F550" s="152">
        <v>44616</v>
      </c>
      <c r="G550" s="155">
        <f t="shared" si="8"/>
        <v>6198.0247670095123</v>
      </c>
    </row>
    <row r="551" spans="1:7" x14ac:dyDescent="0.3">
      <c r="A551" s="151">
        <v>760199</v>
      </c>
      <c r="B551" s="152">
        <v>44630</v>
      </c>
      <c r="C551" s="153">
        <v>3840.6879549999999</v>
      </c>
      <c r="D551" s="151">
        <v>0.94</v>
      </c>
      <c r="E551" s="151" t="s">
        <v>305</v>
      </c>
      <c r="F551" s="152">
        <v>44616</v>
      </c>
      <c r="G551" s="155">
        <f t="shared" si="8"/>
        <v>6201.2472330312703</v>
      </c>
    </row>
    <row r="552" spans="1:7" x14ac:dyDescent="0.3">
      <c r="A552" s="151">
        <v>760199</v>
      </c>
      <c r="B552" s="152">
        <v>44631</v>
      </c>
      <c r="C552" s="153">
        <v>3845.0555290000002</v>
      </c>
      <c r="D552" s="151">
        <v>1.01</v>
      </c>
      <c r="E552" s="151" t="s">
        <v>9</v>
      </c>
      <c r="F552" s="152">
        <v>44631</v>
      </c>
      <c r="G552" s="155">
        <f t="shared" si="8"/>
        <v>6208.2992004131293</v>
      </c>
    </row>
    <row r="553" spans="1:7" x14ac:dyDescent="0.3">
      <c r="A553" s="151">
        <v>760199</v>
      </c>
      <c r="B553" s="152">
        <v>44634</v>
      </c>
      <c r="C553" s="153">
        <v>3847.2029400000001</v>
      </c>
      <c r="D553" s="151">
        <v>1.01</v>
      </c>
      <c r="E553" s="151" t="s">
        <v>9</v>
      </c>
      <c r="F553" s="152">
        <v>44631</v>
      </c>
      <c r="G553" s="155">
        <f t="shared" si="8"/>
        <v>6211.7664507281661</v>
      </c>
    </row>
    <row r="554" spans="1:7" x14ac:dyDescent="0.3">
      <c r="A554" s="151">
        <v>760199</v>
      </c>
      <c r="B554" s="152">
        <v>44635</v>
      </c>
      <c r="C554" s="153">
        <v>3849.3515499999999</v>
      </c>
      <c r="D554" s="151">
        <v>1.01</v>
      </c>
      <c r="E554" s="151" t="s">
        <v>9</v>
      </c>
      <c r="F554" s="152">
        <v>44631</v>
      </c>
      <c r="G554" s="155">
        <f t="shared" si="8"/>
        <v>6215.2356369712224</v>
      </c>
    </row>
    <row r="555" spans="1:7" x14ac:dyDescent="0.3">
      <c r="A555" s="151">
        <v>760199</v>
      </c>
      <c r="B555" s="152">
        <v>44636</v>
      </c>
      <c r="C555" s="153">
        <v>3850.9177330000002</v>
      </c>
      <c r="D555" s="151">
        <v>0.94</v>
      </c>
      <c r="E555" s="151" t="s">
        <v>305</v>
      </c>
      <c r="F555" s="152">
        <v>44636</v>
      </c>
      <c r="G555" s="155">
        <f t="shared" si="8"/>
        <v>6217.7644255916384</v>
      </c>
    </row>
    <row r="556" spans="1:7" x14ac:dyDescent="0.3">
      <c r="A556" s="151">
        <v>760199</v>
      </c>
      <c r="B556" s="152">
        <v>44637</v>
      </c>
      <c r="C556" s="153">
        <v>3852.4845540000001</v>
      </c>
      <c r="D556" s="151">
        <v>0.94</v>
      </c>
      <c r="E556" s="151" t="s">
        <v>305</v>
      </c>
      <c r="F556" s="152">
        <v>44636</v>
      </c>
      <c r="G556" s="155">
        <f t="shared" si="8"/>
        <v>6220.2942443388902</v>
      </c>
    </row>
    <row r="557" spans="1:7" x14ac:dyDescent="0.3">
      <c r="A557" s="151">
        <v>760199</v>
      </c>
      <c r="B557" s="152">
        <v>44638</v>
      </c>
      <c r="C557" s="153">
        <v>3854.052013</v>
      </c>
      <c r="D557" s="151">
        <v>0.94</v>
      </c>
      <c r="E557" s="151" t="s">
        <v>305</v>
      </c>
      <c r="F557" s="152">
        <v>44636</v>
      </c>
      <c r="G557" s="155">
        <f t="shared" si="8"/>
        <v>6222.8250932129795</v>
      </c>
    </row>
    <row r="558" spans="1:7" x14ac:dyDescent="0.3">
      <c r="A558" s="151">
        <v>760199</v>
      </c>
      <c r="B558" s="152">
        <v>44641</v>
      </c>
      <c r="C558" s="153">
        <v>3855.620109</v>
      </c>
      <c r="D558" s="151">
        <v>0.94</v>
      </c>
      <c r="E558" s="151" t="s">
        <v>305</v>
      </c>
      <c r="F558" s="152">
        <v>44636</v>
      </c>
      <c r="G558" s="155">
        <f t="shared" si="8"/>
        <v>6225.3569705992868</v>
      </c>
    </row>
    <row r="559" spans="1:7" x14ac:dyDescent="0.3">
      <c r="A559" s="151">
        <v>760199</v>
      </c>
      <c r="B559" s="152">
        <v>44642</v>
      </c>
      <c r="C559" s="153">
        <v>3857.1888429999999</v>
      </c>
      <c r="D559" s="151">
        <v>0.94</v>
      </c>
      <c r="E559" s="151" t="s">
        <v>305</v>
      </c>
      <c r="F559" s="152">
        <v>44636</v>
      </c>
      <c r="G559" s="155">
        <f t="shared" si="8"/>
        <v>6227.8898781124308</v>
      </c>
    </row>
    <row r="560" spans="1:7" x14ac:dyDescent="0.3">
      <c r="A560" s="151">
        <v>760199</v>
      </c>
      <c r="B560" s="152">
        <v>44643</v>
      </c>
      <c r="C560" s="153">
        <v>3858.7582149999998</v>
      </c>
      <c r="D560" s="151">
        <v>0.94</v>
      </c>
      <c r="E560" s="151" t="s">
        <v>305</v>
      </c>
      <c r="F560" s="152">
        <v>44636</v>
      </c>
      <c r="G560" s="155">
        <f t="shared" si="8"/>
        <v>6230.4238157524123</v>
      </c>
    </row>
    <row r="561" spans="1:7" x14ac:dyDescent="0.3">
      <c r="A561" s="151">
        <v>760199</v>
      </c>
      <c r="B561" s="152">
        <v>44644</v>
      </c>
      <c r="C561" s="153">
        <v>3860.3282260000001</v>
      </c>
      <c r="D561" s="151">
        <v>0.94</v>
      </c>
      <c r="E561" s="151" t="s">
        <v>305</v>
      </c>
      <c r="F561" s="152">
        <v>44636</v>
      </c>
      <c r="G561" s="155">
        <f t="shared" si="8"/>
        <v>6232.9587851338501</v>
      </c>
    </row>
    <row r="562" spans="1:7" x14ac:dyDescent="0.3">
      <c r="A562" s="151">
        <v>760199</v>
      </c>
      <c r="B562" s="152">
        <v>44645</v>
      </c>
      <c r="C562" s="153">
        <v>3861.8988760000002</v>
      </c>
      <c r="D562" s="151">
        <v>0.94</v>
      </c>
      <c r="E562" s="151" t="s">
        <v>305</v>
      </c>
      <c r="F562" s="152">
        <v>44636</v>
      </c>
      <c r="G562" s="155">
        <f t="shared" si="8"/>
        <v>6235.4947862567433</v>
      </c>
    </row>
    <row r="563" spans="1:7" x14ac:dyDescent="0.3">
      <c r="A563" s="151">
        <v>760199</v>
      </c>
      <c r="B563" s="152">
        <v>44648</v>
      </c>
      <c r="C563" s="153">
        <v>3868.557182</v>
      </c>
      <c r="D563" s="151">
        <v>1.28</v>
      </c>
      <c r="E563" s="151" t="s">
        <v>305</v>
      </c>
      <c r="F563" s="152">
        <v>44648</v>
      </c>
      <c r="G563" s="155">
        <f t="shared" si="8"/>
        <v>6246.2454127442252</v>
      </c>
    </row>
    <row r="564" spans="1:7" x14ac:dyDescent="0.3">
      <c r="A564" s="151">
        <v>760199</v>
      </c>
      <c r="B564" s="152">
        <v>44649</v>
      </c>
      <c r="C564" s="153">
        <v>3870.697048</v>
      </c>
      <c r="D564" s="151">
        <v>1.28</v>
      </c>
      <c r="E564" s="151" t="s">
        <v>305</v>
      </c>
      <c r="F564" s="152">
        <v>44648</v>
      </c>
      <c r="G564" s="155">
        <f t="shared" si="8"/>
        <v>6249.7004807599133</v>
      </c>
    </row>
    <row r="565" spans="1:7" x14ac:dyDescent="0.3">
      <c r="A565" s="151">
        <v>760199</v>
      </c>
      <c r="B565" s="152">
        <v>44650</v>
      </c>
      <c r="C565" s="153">
        <v>3872.8380969999998</v>
      </c>
      <c r="D565" s="151">
        <v>1.28</v>
      </c>
      <c r="E565" s="151" t="s">
        <v>305</v>
      </c>
      <c r="F565" s="152">
        <v>44648</v>
      </c>
      <c r="G565" s="155">
        <f t="shared" si="8"/>
        <v>6253.1574588697204</v>
      </c>
    </row>
    <row r="566" spans="1:7" x14ac:dyDescent="0.3">
      <c r="A566" s="151">
        <v>760199</v>
      </c>
      <c r="B566" s="152">
        <v>44651</v>
      </c>
      <c r="C566" s="153">
        <v>3874.9803299999999</v>
      </c>
      <c r="D566" s="151">
        <v>1.28</v>
      </c>
      <c r="E566" s="151" t="s">
        <v>305</v>
      </c>
      <c r="F566" s="152">
        <v>44648</v>
      </c>
      <c r="G566" s="155">
        <f t="shared" si="8"/>
        <v>6256.6163486882651</v>
      </c>
    </row>
    <row r="567" spans="1:7" x14ac:dyDescent="0.3">
      <c r="A567" s="151">
        <v>760199</v>
      </c>
      <c r="B567" s="152">
        <v>44652</v>
      </c>
      <c r="C567" s="153">
        <v>3877.123748</v>
      </c>
      <c r="D567" s="151">
        <v>1.28</v>
      </c>
      <c r="E567" s="151" t="s">
        <v>305</v>
      </c>
      <c r="F567" s="152">
        <v>44648</v>
      </c>
      <c r="G567" s="155">
        <f t="shared" si="8"/>
        <v>6260.0771518301681</v>
      </c>
    </row>
    <row r="568" spans="1:7" x14ac:dyDescent="0.3">
      <c r="A568" s="151">
        <v>760199</v>
      </c>
      <c r="B568" s="152">
        <v>44655</v>
      </c>
      <c r="C568" s="153">
        <v>3879.268352</v>
      </c>
      <c r="D568" s="151">
        <v>1.28</v>
      </c>
      <c r="E568" s="151" t="s">
        <v>305</v>
      </c>
      <c r="F568" s="152">
        <v>44648</v>
      </c>
      <c r="G568" s="155">
        <f t="shared" si="8"/>
        <v>6263.539869910046</v>
      </c>
    </row>
    <row r="569" spans="1:7" x14ac:dyDescent="0.3">
      <c r="A569" s="151">
        <v>760199</v>
      </c>
      <c r="B569" s="152">
        <v>44656</v>
      </c>
      <c r="C569" s="153">
        <v>3881.414143</v>
      </c>
      <c r="D569" s="151">
        <v>1.28</v>
      </c>
      <c r="E569" s="151" t="s">
        <v>305</v>
      </c>
      <c r="F569" s="152">
        <v>44648</v>
      </c>
      <c r="G569" s="155">
        <f t="shared" si="8"/>
        <v>6267.0045045425186</v>
      </c>
    </row>
    <row r="570" spans="1:7" x14ac:dyDescent="0.3">
      <c r="A570" s="151">
        <v>760199</v>
      </c>
      <c r="B570" s="152">
        <v>44657</v>
      </c>
      <c r="C570" s="153">
        <v>3883.5611199999998</v>
      </c>
      <c r="D570" s="151">
        <v>1.28</v>
      </c>
      <c r="E570" s="151" t="s">
        <v>305</v>
      </c>
      <c r="F570" s="152">
        <v>44648</v>
      </c>
      <c r="G570" s="155">
        <f t="shared" si="8"/>
        <v>6270.4710541129671</v>
      </c>
    </row>
    <row r="571" spans="1:7" x14ac:dyDescent="0.3">
      <c r="A571" s="151">
        <v>760199</v>
      </c>
      <c r="B571" s="152">
        <v>44658</v>
      </c>
      <c r="C571" s="153">
        <v>3885.7092849999999</v>
      </c>
      <c r="D571" s="151">
        <v>1.28</v>
      </c>
      <c r="E571" s="151" t="s">
        <v>305</v>
      </c>
      <c r="F571" s="152">
        <v>44648</v>
      </c>
      <c r="G571" s="155">
        <f t="shared" si="8"/>
        <v>6273.9395218506288</v>
      </c>
    </row>
    <row r="572" spans="1:7" x14ac:dyDescent="0.3">
      <c r="A572" s="151">
        <v>760199</v>
      </c>
      <c r="B572" s="152">
        <v>44659</v>
      </c>
      <c r="C572" s="153">
        <v>3898.0707600000001</v>
      </c>
      <c r="D572" s="151">
        <v>1.62</v>
      </c>
      <c r="E572" s="151" t="s">
        <v>9</v>
      </c>
      <c r="F572" s="152">
        <v>44659</v>
      </c>
      <c r="G572" s="155">
        <f t="shared" si="8"/>
        <v>6293.8985926051637</v>
      </c>
    </row>
    <row r="573" spans="1:7" x14ac:dyDescent="0.3">
      <c r="A573" s="151">
        <v>760199</v>
      </c>
      <c r="B573" s="152">
        <v>44662</v>
      </c>
      <c r="C573" s="153">
        <v>3900.7953910000001</v>
      </c>
      <c r="D573" s="151">
        <v>1.62</v>
      </c>
      <c r="E573" s="151" t="s">
        <v>9</v>
      </c>
      <c r="F573" s="152">
        <v>44659</v>
      </c>
      <c r="G573" s="155">
        <f t="shared" si="8"/>
        <v>6298.2978332224038</v>
      </c>
    </row>
    <row r="574" spans="1:7" x14ac:dyDescent="0.3">
      <c r="A574" s="151">
        <v>760199</v>
      </c>
      <c r="B574" s="152">
        <v>44663</v>
      </c>
      <c r="C574" s="153">
        <v>3903.5219259999999</v>
      </c>
      <c r="D574" s="151">
        <v>1.62</v>
      </c>
      <c r="E574" s="151" t="s">
        <v>9</v>
      </c>
      <c r="F574" s="152">
        <v>44659</v>
      </c>
      <c r="G574" s="155">
        <f t="shared" si="8"/>
        <v>6302.7001480739655</v>
      </c>
    </row>
    <row r="575" spans="1:7" x14ac:dyDescent="0.3">
      <c r="A575" s="151">
        <v>760199</v>
      </c>
      <c r="B575" s="152">
        <v>44664</v>
      </c>
      <c r="C575" s="153">
        <v>3906.2503670000001</v>
      </c>
      <c r="D575" s="151">
        <v>1.62</v>
      </c>
      <c r="E575" s="151" t="s">
        <v>9</v>
      </c>
      <c r="F575" s="152">
        <v>44659</v>
      </c>
      <c r="G575" s="155">
        <f t="shared" si="8"/>
        <v>6307.1055403890878</v>
      </c>
    </row>
    <row r="576" spans="1:7" x14ac:dyDescent="0.3">
      <c r="A576" s="151">
        <v>760199</v>
      </c>
      <c r="B576" s="152">
        <v>44665</v>
      </c>
      <c r="C576" s="153">
        <v>3908.9807150000001</v>
      </c>
      <c r="D576" s="151">
        <v>1.62</v>
      </c>
      <c r="E576" s="151" t="s">
        <v>9</v>
      </c>
      <c r="F576" s="152">
        <v>44659</v>
      </c>
      <c r="G576" s="155">
        <f t="shared" si="8"/>
        <v>6311.5140117823885</v>
      </c>
    </row>
    <row r="577" spans="1:7" x14ac:dyDescent="0.3">
      <c r="A577" s="151">
        <v>760199</v>
      </c>
      <c r="B577" s="152">
        <v>44669</v>
      </c>
      <c r="C577" s="153">
        <v>3911.7129719999998</v>
      </c>
      <c r="D577" s="151">
        <v>1.62</v>
      </c>
      <c r="E577" s="151" t="s">
        <v>9</v>
      </c>
      <c r="F577" s="152">
        <v>44659</v>
      </c>
      <c r="G577" s="155">
        <f t="shared" si="8"/>
        <v>6315.9255654831059</v>
      </c>
    </row>
    <row r="578" spans="1:7" x14ac:dyDescent="0.3">
      <c r="A578" s="151">
        <v>760199</v>
      </c>
      <c r="B578" s="152">
        <v>44670</v>
      </c>
      <c r="C578" s="153">
        <v>3913.2720509999999</v>
      </c>
      <c r="D578" s="151">
        <v>0.76</v>
      </c>
      <c r="E578" s="151" t="s">
        <v>305</v>
      </c>
      <c r="F578" s="152">
        <v>44670</v>
      </c>
      <c r="G578" s="155">
        <f t="shared" si="8"/>
        <v>6318.442883851093</v>
      </c>
    </row>
    <row r="579" spans="1:7" x14ac:dyDescent="0.3">
      <c r="A579" s="151">
        <v>760199</v>
      </c>
      <c r="B579" s="152">
        <v>44671</v>
      </c>
      <c r="C579" s="153">
        <v>3914.8317529999999</v>
      </c>
      <c r="D579" s="151">
        <v>0.76</v>
      </c>
      <c r="E579" s="151" t="s">
        <v>305</v>
      </c>
      <c r="F579" s="152">
        <v>44670</v>
      </c>
      <c r="G579" s="155">
        <f t="shared" si="8"/>
        <v>6320.9612081266341</v>
      </c>
    </row>
    <row r="580" spans="1:7" x14ac:dyDescent="0.3">
      <c r="A580" s="151">
        <v>760199</v>
      </c>
      <c r="B580" s="152">
        <v>44673</v>
      </c>
      <c r="C580" s="153">
        <v>3916.3920760000001</v>
      </c>
      <c r="D580" s="151">
        <v>0.76</v>
      </c>
      <c r="E580" s="151" t="s">
        <v>305</v>
      </c>
      <c r="F580" s="152">
        <v>44670</v>
      </c>
      <c r="G580" s="155">
        <f t="shared" si="8"/>
        <v>6323.4805350804909</v>
      </c>
    </row>
    <row r="581" spans="1:7" x14ac:dyDescent="0.3">
      <c r="A581" s="151">
        <v>760199</v>
      </c>
      <c r="B581" s="152">
        <v>44676</v>
      </c>
      <c r="C581" s="153">
        <v>3917.9530209999998</v>
      </c>
      <c r="D581" s="151">
        <v>0.76</v>
      </c>
      <c r="E581" s="151" t="s">
        <v>305</v>
      </c>
      <c r="F581" s="152">
        <v>44670</v>
      </c>
      <c r="G581" s="155">
        <f t="shared" ref="G581:G644" si="9">+C581/C580*G580</f>
        <v>6326.000866327282</v>
      </c>
    </row>
    <row r="582" spans="1:7" x14ac:dyDescent="0.3">
      <c r="A582" s="151">
        <v>760199</v>
      </c>
      <c r="B582" s="152">
        <v>44677</v>
      </c>
      <c r="C582" s="153">
        <v>3919.514588</v>
      </c>
      <c r="D582" s="151">
        <v>0.76</v>
      </c>
      <c r="E582" s="151" t="s">
        <v>305</v>
      </c>
      <c r="F582" s="152">
        <v>44670</v>
      </c>
      <c r="G582" s="155">
        <f t="shared" si="9"/>
        <v>6328.5222018670092</v>
      </c>
    </row>
    <row r="583" spans="1:7" x14ac:dyDescent="0.3">
      <c r="A583" s="151">
        <v>760199</v>
      </c>
      <c r="B583" s="152">
        <v>44678</v>
      </c>
      <c r="C583" s="153">
        <v>3921.0767770000002</v>
      </c>
      <c r="D583" s="151">
        <v>0.76</v>
      </c>
      <c r="E583" s="151" t="s">
        <v>305</v>
      </c>
      <c r="F583" s="152">
        <v>44670</v>
      </c>
      <c r="G583" s="155">
        <f t="shared" si="9"/>
        <v>6331.0445416996718</v>
      </c>
    </row>
    <row r="584" spans="1:7" x14ac:dyDescent="0.3">
      <c r="A584" s="151">
        <v>760199</v>
      </c>
      <c r="B584" s="152">
        <v>44679</v>
      </c>
      <c r="C584" s="153">
        <v>3925.2198429999999</v>
      </c>
      <c r="D584" s="151">
        <v>0.94</v>
      </c>
      <c r="E584" s="151" t="s">
        <v>305</v>
      </c>
      <c r="F584" s="152">
        <v>44679</v>
      </c>
      <c r="G584" s="155">
        <f t="shared" si="9"/>
        <v>6337.7340142290177</v>
      </c>
    </row>
    <row r="585" spans="1:7" x14ac:dyDescent="0.3">
      <c r="A585" s="151">
        <v>760199</v>
      </c>
      <c r="B585" s="152">
        <v>44680</v>
      </c>
      <c r="C585" s="153">
        <v>3927.1531989999999</v>
      </c>
      <c r="D585" s="151">
        <v>0.94</v>
      </c>
      <c r="E585" s="151" t="s">
        <v>305</v>
      </c>
      <c r="F585" s="152">
        <v>44679</v>
      </c>
      <c r="G585" s="155">
        <f t="shared" si="9"/>
        <v>6340.8556473025546</v>
      </c>
    </row>
    <row r="586" spans="1:7" x14ac:dyDescent="0.3">
      <c r="A586" s="151">
        <v>760199</v>
      </c>
      <c r="B586" s="152">
        <v>44683</v>
      </c>
      <c r="C586" s="153">
        <v>3929.0875080000001</v>
      </c>
      <c r="D586" s="151">
        <v>0.94</v>
      </c>
      <c r="E586" s="151" t="s">
        <v>305</v>
      </c>
      <c r="F586" s="152">
        <v>44679</v>
      </c>
      <c r="G586" s="155">
        <f t="shared" si="9"/>
        <v>6343.9788191078724</v>
      </c>
    </row>
    <row r="587" spans="1:7" x14ac:dyDescent="0.3">
      <c r="A587" s="151">
        <v>760199</v>
      </c>
      <c r="B587" s="152">
        <v>44684</v>
      </c>
      <c r="C587" s="153">
        <v>3931.0227690000002</v>
      </c>
      <c r="D587" s="151">
        <v>0.94</v>
      </c>
      <c r="E587" s="151" t="s">
        <v>305</v>
      </c>
      <c r="F587" s="152">
        <v>44679</v>
      </c>
      <c r="G587" s="155">
        <f t="shared" si="9"/>
        <v>6347.1035280303504</v>
      </c>
    </row>
    <row r="588" spans="1:7" x14ac:dyDescent="0.3">
      <c r="A588" s="151">
        <v>760199</v>
      </c>
      <c r="B588" s="152">
        <v>44685</v>
      </c>
      <c r="C588" s="153">
        <v>3932.9589839999999</v>
      </c>
      <c r="D588" s="151">
        <v>0.94</v>
      </c>
      <c r="E588" s="151" t="s">
        <v>305</v>
      </c>
      <c r="F588" s="152">
        <v>44679</v>
      </c>
      <c r="G588" s="155">
        <f t="shared" si="9"/>
        <v>6350.2297772992279</v>
      </c>
    </row>
    <row r="589" spans="1:7" x14ac:dyDescent="0.3">
      <c r="A589" s="151">
        <v>760199</v>
      </c>
      <c r="B589" s="152">
        <v>44686</v>
      </c>
      <c r="C589" s="153">
        <v>3934.8961519999998</v>
      </c>
      <c r="D589" s="151">
        <v>0.94</v>
      </c>
      <c r="E589" s="151" t="s">
        <v>305</v>
      </c>
      <c r="F589" s="152">
        <v>44679</v>
      </c>
      <c r="G589" s="155">
        <f t="shared" si="9"/>
        <v>6353.3575652998843</v>
      </c>
    </row>
    <row r="590" spans="1:7" x14ac:dyDescent="0.3">
      <c r="A590" s="151">
        <v>760199</v>
      </c>
      <c r="B590" s="152">
        <v>44687</v>
      </c>
      <c r="C590" s="153">
        <v>3936.8342750000002</v>
      </c>
      <c r="D590" s="151">
        <v>0.94</v>
      </c>
      <c r="E590" s="151" t="s">
        <v>305</v>
      </c>
      <c r="F590" s="152">
        <v>44679</v>
      </c>
      <c r="G590" s="155">
        <f t="shared" si="9"/>
        <v>6356.4868952615589</v>
      </c>
    </row>
    <row r="591" spans="1:7" x14ac:dyDescent="0.3">
      <c r="A591" s="151">
        <v>760199</v>
      </c>
      <c r="B591" s="152">
        <v>44690</v>
      </c>
      <c r="C591" s="153">
        <v>3938.7733520000002</v>
      </c>
      <c r="D591" s="151">
        <v>0.94</v>
      </c>
      <c r="E591" s="151" t="s">
        <v>305</v>
      </c>
      <c r="F591" s="152">
        <v>44679</v>
      </c>
      <c r="G591" s="155">
        <f t="shared" si="9"/>
        <v>6359.617765569632</v>
      </c>
    </row>
    <row r="592" spans="1:7" x14ac:dyDescent="0.3">
      <c r="A592" s="151">
        <v>760199</v>
      </c>
      <c r="B592" s="152">
        <v>44691</v>
      </c>
      <c r="C592" s="153">
        <v>3940.7133840000001</v>
      </c>
      <c r="D592" s="151">
        <v>0.94</v>
      </c>
      <c r="E592" s="151" t="s">
        <v>305</v>
      </c>
      <c r="F592" s="152">
        <v>44679</v>
      </c>
      <c r="G592" s="155">
        <f t="shared" si="9"/>
        <v>6362.7501778387223</v>
      </c>
    </row>
    <row r="593" spans="1:7" x14ac:dyDescent="0.3">
      <c r="A593" s="151">
        <v>760199</v>
      </c>
      <c r="B593" s="152">
        <v>44692</v>
      </c>
      <c r="C593" s="153">
        <v>3946.6016500000001</v>
      </c>
      <c r="D593" s="151">
        <v>1.06</v>
      </c>
      <c r="E593" s="151" t="s">
        <v>9</v>
      </c>
      <c r="F593" s="152">
        <v>44692</v>
      </c>
      <c r="G593" s="155">
        <f t="shared" si="9"/>
        <v>6372.2574832141354</v>
      </c>
    </row>
    <row r="594" spans="1:7" x14ac:dyDescent="0.3">
      <c r="A594" s="151">
        <v>760199</v>
      </c>
      <c r="B594" s="152">
        <v>44693</v>
      </c>
      <c r="C594" s="153">
        <v>3948.792496</v>
      </c>
      <c r="D594" s="151">
        <v>1.06</v>
      </c>
      <c r="E594" s="151" t="s">
        <v>9</v>
      </c>
      <c r="F594" s="152">
        <v>44692</v>
      </c>
      <c r="G594" s="155">
        <f t="shared" si="9"/>
        <v>6375.7948644996441</v>
      </c>
    </row>
    <row r="595" spans="1:7" x14ac:dyDescent="0.3">
      <c r="A595" s="151">
        <v>760199</v>
      </c>
      <c r="B595" s="152">
        <v>44694</v>
      </c>
      <c r="C595" s="153">
        <v>3950.9845580000001</v>
      </c>
      <c r="D595" s="151">
        <v>1.06</v>
      </c>
      <c r="E595" s="151" t="s">
        <v>9</v>
      </c>
      <c r="F595" s="152">
        <v>44692</v>
      </c>
      <c r="G595" s="155">
        <f t="shared" si="9"/>
        <v>6379.3342091616951</v>
      </c>
    </row>
    <row r="596" spans="1:7" x14ac:dyDescent="0.3">
      <c r="A596" s="151">
        <v>760199</v>
      </c>
      <c r="B596" s="152">
        <v>44697</v>
      </c>
      <c r="C596" s="153">
        <v>3953.1778370000002</v>
      </c>
      <c r="D596" s="151">
        <v>1.06</v>
      </c>
      <c r="E596" s="151" t="s">
        <v>9</v>
      </c>
      <c r="F596" s="152">
        <v>44692</v>
      </c>
      <c r="G596" s="155">
        <f t="shared" si="9"/>
        <v>6382.875518814908</v>
      </c>
    </row>
    <row r="597" spans="1:7" x14ac:dyDescent="0.3">
      <c r="A597" s="151">
        <v>760199</v>
      </c>
      <c r="B597" s="152">
        <v>44698</v>
      </c>
      <c r="C597" s="153">
        <v>3954.0026010000001</v>
      </c>
      <c r="D597" s="151">
        <v>0.46</v>
      </c>
      <c r="E597" s="151" t="s">
        <v>305</v>
      </c>
      <c r="F597" s="152">
        <v>44698</v>
      </c>
      <c r="G597" s="155">
        <f t="shared" si="9"/>
        <v>6384.2071983298356</v>
      </c>
    </row>
    <row r="598" spans="1:7" x14ac:dyDescent="0.3">
      <c r="A598" s="151">
        <v>760199</v>
      </c>
      <c r="B598" s="152">
        <v>44699</v>
      </c>
      <c r="C598" s="153">
        <v>3954.8275370000001</v>
      </c>
      <c r="D598" s="151">
        <v>0.46</v>
      </c>
      <c r="E598" s="151" t="s">
        <v>305</v>
      </c>
      <c r="F598" s="152">
        <v>44698</v>
      </c>
      <c r="G598" s="155">
        <f t="shared" si="9"/>
        <v>6385.5391555592078</v>
      </c>
    </row>
    <row r="599" spans="1:7" x14ac:dyDescent="0.3">
      <c r="A599" s="151">
        <v>760199</v>
      </c>
      <c r="B599" s="152">
        <v>44700</v>
      </c>
      <c r="C599" s="153">
        <v>3955.652646</v>
      </c>
      <c r="D599" s="151">
        <v>0.46</v>
      </c>
      <c r="E599" s="151" t="s">
        <v>305</v>
      </c>
      <c r="F599" s="152">
        <v>44698</v>
      </c>
      <c r="G599" s="155">
        <f t="shared" si="9"/>
        <v>6386.8713921176441</v>
      </c>
    </row>
    <row r="600" spans="1:7" x14ac:dyDescent="0.3">
      <c r="A600" s="151">
        <v>760199</v>
      </c>
      <c r="B600" s="152">
        <v>44701</v>
      </c>
      <c r="C600" s="153">
        <v>3956.477926</v>
      </c>
      <c r="D600" s="151">
        <v>0.46</v>
      </c>
      <c r="E600" s="151" t="s">
        <v>305</v>
      </c>
      <c r="F600" s="152">
        <v>44698</v>
      </c>
      <c r="G600" s="155">
        <f t="shared" si="9"/>
        <v>6388.2039047759072</v>
      </c>
    </row>
    <row r="601" spans="1:7" x14ac:dyDescent="0.3">
      <c r="A601" s="151">
        <v>760199</v>
      </c>
      <c r="B601" s="152">
        <v>44704</v>
      </c>
      <c r="C601" s="153">
        <v>3957.3033789999999</v>
      </c>
      <c r="D601" s="151">
        <v>0.46</v>
      </c>
      <c r="E601" s="151" t="s">
        <v>305</v>
      </c>
      <c r="F601" s="152">
        <v>44698</v>
      </c>
      <c r="G601" s="155">
        <f t="shared" si="9"/>
        <v>6389.5366967632335</v>
      </c>
    </row>
    <row r="602" spans="1:7" x14ac:dyDescent="0.3">
      <c r="A602" s="151">
        <v>760199</v>
      </c>
      <c r="B602" s="152">
        <v>44705</v>
      </c>
      <c r="C602" s="153">
        <v>3958.1290039999999</v>
      </c>
      <c r="D602" s="151">
        <v>0.46</v>
      </c>
      <c r="E602" s="151" t="s">
        <v>305</v>
      </c>
      <c r="F602" s="152">
        <v>44698</v>
      </c>
      <c r="G602" s="155">
        <f t="shared" si="9"/>
        <v>6390.8697664650053</v>
      </c>
    </row>
    <row r="603" spans="1:7" x14ac:dyDescent="0.3">
      <c r="A603" s="151">
        <v>760199</v>
      </c>
      <c r="B603" s="152">
        <v>44706</v>
      </c>
      <c r="C603" s="153">
        <v>3960.5841519999999</v>
      </c>
      <c r="D603" s="151">
        <v>0.59</v>
      </c>
      <c r="E603" s="151" t="s">
        <v>305</v>
      </c>
      <c r="F603" s="152">
        <v>44706</v>
      </c>
      <c r="G603" s="155">
        <f t="shared" si="9"/>
        <v>6394.8338947462053</v>
      </c>
    </row>
    <row r="604" spans="1:7" x14ac:dyDescent="0.3">
      <c r="A604" s="151">
        <v>760199</v>
      </c>
      <c r="B604" s="152">
        <v>44707</v>
      </c>
      <c r="C604" s="153">
        <v>3961.643329</v>
      </c>
      <c r="D604" s="151">
        <v>0.59</v>
      </c>
      <c r="E604" s="151" t="s">
        <v>305</v>
      </c>
      <c r="F604" s="152">
        <v>44706</v>
      </c>
      <c r="G604" s="155">
        <f t="shared" si="9"/>
        <v>6396.5440619135197</v>
      </c>
    </row>
    <row r="605" spans="1:7" x14ac:dyDescent="0.3">
      <c r="A605" s="151">
        <v>760199</v>
      </c>
      <c r="B605" s="152">
        <v>44708</v>
      </c>
      <c r="C605" s="153">
        <v>3962.7027889999999</v>
      </c>
      <c r="D605" s="151">
        <v>0.59</v>
      </c>
      <c r="E605" s="151" t="s">
        <v>305</v>
      </c>
      <c r="F605" s="152">
        <v>44706</v>
      </c>
      <c r="G605" s="155">
        <f t="shared" si="9"/>
        <v>6398.2546860179727</v>
      </c>
    </row>
    <row r="606" spans="1:7" x14ac:dyDescent="0.3">
      <c r="A606" s="151">
        <v>760199</v>
      </c>
      <c r="B606" s="152">
        <v>44711</v>
      </c>
      <c r="C606" s="153">
        <v>3963.7625330000001</v>
      </c>
      <c r="D606" s="151">
        <v>0.59</v>
      </c>
      <c r="E606" s="151" t="s">
        <v>305</v>
      </c>
      <c r="F606" s="152">
        <v>44706</v>
      </c>
      <c r="G606" s="155">
        <f t="shared" si="9"/>
        <v>6399.9657686741848</v>
      </c>
    </row>
    <row r="607" spans="1:7" x14ac:dyDescent="0.3">
      <c r="A607" s="151">
        <v>760199</v>
      </c>
      <c r="B607" s="152">
        <v>44712</v>
      </c>
      <c r="C607" s="153">
        <v>3964.8225600000001</v>
      </c>
      <c r="D607" s="151">
        <v>0.59</v>
      </c>
      <c r="E607" s="151" t="s">
        <v>305</v>
      </c>
      <c r="F607" s="152">
        <v>44706</v>
      </c>
      <c r="G607" s="155">
        <f t="shared" si="9"/>
        <v>6401.6773082675354</v>
      </c>
    </row>
    <row r="608" spans="1:7" x14ac:dyDescent="0.3">
      <c r="A608" s="151">
        <v>760199</v>
      </c>
      <c r="B608" s="152">
        <v>44713</v>
      </c>
      <c r="C608" s="153">
        <v>3965.8828709999998</v>
      </c>
      <c r="D608" s="151">
        <v>0.59</v>
      </c>
      <c r="E608" s="151" t="s">
        <v>305</v>
      </c>
      <c r="F608" s="152">
        <v>44706</v>
      </c>
      <c r="G608" s="155">
        <f t="shared" si="9"/>
        <v>6403.3893064126432</v>
      </c>
    </row>
    <row r="609" spans="1:7" x14ac:dyDescent="0.3">
      <c r="A609" s="151">
        <v>760199</v>
      </c>
      <c r="B609" s="152">
        <v>44714</v>
      </c>
      <c r="C609" s="153">
        <v>3966.9434649999998</v>
      </c>
      <c r="D609" s="151">
        <v>0.59</v>
      </c>
      <c r="E609" s="151" t="s">
        <v>305</v>
      </c>
      <c r="F609" s="152">
        <v>44706</v>
      </c>
      <c r="G609" s="155">
        <f t="shared" si="9"/>
        <v>6405.1017614948914</v>
      </c>
    </row>
    <row r="610" spans="1:7" x14ac:dyDescent="0.3">
      <c r="A610" s="151">
        <v>760199</v>
      </c>
      <c r="B610" s="152">
        <v>44715</v>
      </c>
      <c r="C610" s="153">
        <v>3968.0043430000001</v>
      </c>
      <c r="D610" s="151">
        <v>0.59</v>
      </c>
      <c r="E610" s="151" t="s">
        <v>305</v>
      </c>
      <c r="F610" s="152">
        <v>44706</v>
      </c>
      <c r="G610" s="155">
        <f t="shared" si="9"/>
        <v>6406.8146751288978</v>
      </c>
    </row>
    <row r="611" spans="1:7" x14ac:dyDescent="0.3">
      <c r="A611" s="151">
        <v>760199</v>
      </c>
      <c r="B611" s="152">
        <v>44718</v>
      </c>
      <c r="C611" s="153">
        <v>3969.065505</v>
      </c>
      <c r="D611" s="151">
        <v>0.59</v>
      </c>
      <c r="E611" s="151" t="s">
        <v>305</v>
      </c>
      <c r="F611" s="152">
        <v>44706</v>
      </c>
      <c r="G611" s="155">
        <f t="shared" si="9"/>
        <v>6408.5280473146622</v>
      </c>
    </row>
    <row r="612" spans="1:7" x14ac:dyDescent="0.3">
      <c r="A612" s="151">
        <v>760199</v>
      </c>
      <c r="B612" s="152">
        <v>44719</v>
      </c>
      <c r="C612" s="153">
        <v>3970.1269499999999</v>
      </c>
      <c r="D612" s="151">
        <v>0.59</v>
      </c>
      <c r="E612" s="151" t="s">
        <v>305</v>
      </c>
      <c r="F612" s="152">
        <v>44706</v>
      </c>
      <c r="G612" s="155">
        <f t="shared" si="9"/>
        <v>6410.2418764375661</v>
      </c>
    </row>
    <row r="613" spans="1:7" x14ac:dyDescent="0.3">
      <c r="A613" s="151">
        <v>760199</v>
      </c>
      <c r="B613" s="152">
        <v>44720</v>
      </c>
      <c r="C613" s="153">
        <v>3971.1886789999999</v>
      </c>
      <c r="D613" s="151">
        <v>0.59</v>
      </c>
      <c r="E613" s="151" t="s">
        <v>305</v>
      </c>
      <c r="F613" s="152">
        <v>44706</v>
      </c>
      <c r="G613" s="155">
        <f t="shared" si="9"/>
        <v>6411.9561641122282</v>
      </c>
    </row>
    <row r="614" spans="1:7" x14ac:dyDescent="0.3">
      <c r="A614" s="151">
        <v>760199</v>
      </c>
      <c r="B614" s="152">
        <v>44721</v>
      </c>
      <c r="C614" s="153">
        <v>3968.3733539999998</v>
      </c>
      <c r="D614" s="151">
        <v>0.47</v>
      </c>
      <c r="E614" s="151" t="s">
        <v>9</v>
      </c>
      <c r="F614" s="152">
        <v>44721</v>
      </c>
      <c r="G614" s="155">
        <f t="shared" si="9"/>
        <v>6407.4104872514972</v>
      </c>
    </row>
    <row r="615" spans="1:7" x14ac:dyDescent="0.3">
      <c r="A615" s="151">
        <v>760199</v>
      </c>
      <c r="B615" s="152">
        <v>44722</v>
      </c>
      <c r="C615" s="153">
        <v>3969.2192599999998</v>
      </c>
      <c r="D615" s="151">
        <v>0.47</v>
      </c>
      <c r="E615" s="151" t="s">
        <v>9</v>
      </c>
      <c r="F615" s="152">
        <v>44721</v>
      </c>
      <c r="G615" s="155">
        <f t="shared" si="9"/>
        <v>6408.776303038504</v>
      </c>
    </row>
    <row r="616" spans="1:7" x14ac:dyDescent="0.3">
      <c r="A616" s="151">
        <v>760199</v>
      </c>
      <c r="B616" s="152">
        <v>44725</v>
      </c>
      <c r="C616" s="153">
        <v>3970.0653459999999</v>
      </c>
      <c r="D616" s="151">
        <v>0.47</v>
      </c>
      <c r="E616" s="151" t="s">
        <v>9</v>
      </c>
      <c r="F616" s="152">
        <v>44721</v>
      </c>
      <c r="G616" s="155">
        <f t="shared" si="9"/>
        <v>6410.1424094569065</v>
      </c>
    </row>
    <row r="617" spans="1:7" x14ac:dyDescent="0.3">
      <c r="A617" s="151">
        <v>760199</v>
      </c>
      <c r="B617" s="152">
        <v>44726</v>
      </c>
      <c r="C617" s="153">
        <v>3970.9116130000002</v>
      </c>
      <c r="D617" s="151">
        <v>0.47</v>
      </c>
      <c r="E617" s="151" t="s">
        <v>9</v>
      </c>
      <c r="F617" s="152">
        <v>44721</v>
      </c>
      <c r="G617" s="155">
        <f t="shared" si="9"/>
        <v>6411.5088081213244</v>
      </c>
    </row>
    <row r="618" spans="1:7" x14ac:dyDescent="0.3">
      <c r="A618" s="151">
        <v>760199</v>
      </c>
      <c r="B618" s="152">
        <v>44727</v>
      </c>
      <c r="C618" s="153">
        <v>3971.7580600000001</v>
      </c>
      <c r="D618" s="151">
        <v>0.47</v>
      </c>
      <c r="E618" s="151" t="s">
        <v>9</v>
      </c>
      <c r="F618" s="152">
        <v>44721</v>
      </c>
      <c r="G618" s="155">
        <f t="shared" si="9"/>
        <v>6412.8754974171379</v>
      </c>
    </row>
    <row r="619" spans="1:7" x14ac:dyDescent="0.3">
      <c r="A619" s="151">
        <v>760199</v>
      </c>
      <c r="B619" s="152">
        <v>44729</v>
      </c>
      <c r="C619" s="153">
        <v>3972.9648259999999</v>
      </c>
      <c r="D619" s="151">
        <v>0.64</v>
      </c>
      <c r="E619" s="151" t="s">
        <v>305</v>
      </c>
      <c r="F619" s="152">
        <v>44729</v>
      </c>
      <c r="G619" s="155">
        <f t="shared" si="9"/>
        <v>6414.8239645683616</v>
      </c>
    </row>
    <row r="620" spans="1:7" x14ac:dyDescent="0.3">
      <c r="A620" s="151">
        <v>760199</v>
      </c>
      <c r="B620" s="152">
        <v>44732</v>
      </c>
      <c r="C620" s="153">
        <v>3974.1719600000001</v>
      </c>
      <c r="D620" s="151">
        <v>0.64</v>
      </c>
      <c r="E620" s="151" t="s">
        <v>305</v>
      </c>
      <c r="F620" s="152">
        <v>44729</v>
      </c>
      <c r="G620" s="155">
        <f t="shared" si="9"/>
        <v>6416.7730258993288</v>
      </c>
    </row>
    <row r="621" spans="1:7" x14ac:dyDescent="0.3">
      <c r="A621" s="151">
        <v>760199</v>
      </c>
      <c r="B621" s="152">
        <v>44733</v>
      </c>
      <c r="C621" s="153">
        <v>3975.3794600000001</v>
      </c>
      <c r="D621" s="151">
        <v>0.64</v>
      </c>
      <c r="E621" s="151" t="s">
        <v>305</v>
      </c>
      <c r="F621" s="152">
        <v>44729</v>
      </c>
      <c r="G621" s="155">
        <f t="shared" si="9"/>
        <v>6418.7226781808004</v>
      </c>
    </row>
    <row r="622" spans="1:7" x14ac:dyDescent="0.3">
      <c r="A622" s="151">
        <v>760199</v>
      </c>
      <c r="B622" s="152">
        <v>44734</v>
      </c>
      <c r="C622" s="153">
        <v>3976.5873270000002</v>
      </c>
      <c r="D622" s="151">
        <v>0.64</v>
      </c>
      <c r="E622" s="151" t="s">
        <v>305</v>
      </c>
      <c r="F622" s="152">
        <v>44729</v>
      </c>
      <c r="G622" s="155">
        <f t="shared" si="9"/>
        <v>6420.6729230273959</v>
      </c>
    </row>
    <row r="623" spans="1:7" x14ac:dyDescent="0.3">
      <c r="A623" s="151">
        <v>760199</v>
      </c>
      <c r="B623" s="152">
        <v>44735</v>
      </c>
      <c r="C623" s="153">
        <v>3977.7955619999998</v>
      </c>
      <c r="D623" s="151">
        <v>0.64</v>
      </c>
      <c r="E623" s="151" t="s">
        <v>305</v>
      </c>
      <c r="F623" s="152">
        <v>44729</v>
      </c>
      <c r="G623" s="155">
        <f t="shared" si="9"/>
        <v>6422.623762053734</v>
      </c>
    </row>
    <row r="624" spans="1:7" x14ac:dyDescent="0.3">
      <c r="A624" s="151">
        <v>760199</v>
      </c>
      <c r="B624" s="152">
        <v>44736</v>
      </c>
      <c r="C624" s="153">
        <v>3979.0041630000001</v>
      </c>
      <c r="D624" s="151">
        <v>0.64</v>
      </c>
      <c r="E624" s="151" t="s">
        <v>305</v>
      </c>
      <c r="F624" s="152">
        <v>44729</v>
      </c>
      <c r="G624" s="155">
        <f t="shared" si="9"/>
        <v>6424.5751920305784</v>
      </c>
    </row>
    <row r="625" spans="1:7" x14ac:dyDescent="0.3">
      <c r="A625" s="151">
        <v>760199</v>
      </c>
      <c r="B625" s="152">
        <v>44739</v>
      </c>
      <c r="C625" s="153">
        <v>3981.3992480000002</v>
      </c>
      <c r="D625" s="151">
        <v>0.73</v>
      </c>
      <c r="E625" s="151" t="s">
        <v>305</v>
      </c>
      <c r="F625" s="152">
        <v>44739</v>
      </c>
      <c r="G625" s="155">
        <f t="shared" si="9"/>
        <v>6428.4423414587918</v>
      </c>
    </row>
    <row r="626" spans="1:7" x14ac:dyDescent="0.3">
      <c r="A626" s="151">
        <v>760199</v>
      </c>
      <c r="B626" s="152">
        <v>44740</v>
      </c>
      <c r="C626" s="153">
        <v>3982.7784700000002</v>
      </c>
      <c r="D626" s="151">
        <v>0.73</v>
      </c>
      <c r="E626" s="151" t="s">
        <v>305</v>
      </c>
      <c r="F626" s="152">
        <v>44739</v>
      </c>
      <c r="G626" s="155">
        <f t="shared" si="9"/>
        <v>6430.6692593212802</v>
      </c>
    </row>
    <row r="627" spans="1:7" x14ac:dyDescent="0.3">
      <c r="A627" s="151">
        <v>760199</v>
      </c>
      <c r="B627" s="152">
        <v>44741</v>
      </c>
      <c r="C627" s="153">
        <v>3984.1581700000002</v>
      </c>
      <c r="D627" s="151">
        <v>0.73</v>
      </c>
      <c r="E627" s="151" t="s">
        <v>305</v>
      </c>
      <c r="F627" s="152">
        <v>44739</v>
      </c>
      <c r="G627" s="155">
        <f t="shared" si="9"/>
        <v>6432.8969489715873</v>
      </c>
    </row>
    <row r="628" spans="1:7" x14ac:dyDescent="0.3">
      <c r="A628" s="151">
        <v>760199</v>
      </c>
      <c r="B628" s="152">
        <v>44742</v>
      </c>
      <c r="C628" s="153">
        <v>3985.538348</v>
      </c>
      <c r="D628" s="151">
        <v>0.73</v>
      </c>
      <c r="E628" s="151" t="s">
        <v>305</v>
      </c>
      <c r="F628" s="152">
        <v>44739</v>
      </c>
      <c r="G628" s="155">
        <f t="shared" si="9"/>
        <v>6435.1254104097125</v>
      </c>
    </row>
    <row r="629" spans="1:7" x14ac:dyDescent="0.3">
      <c r="A629" s="151">
        <v>760199</v>
      </c>
      <c r="B629" s="152">
        <v>44743</v>
      </c>
      <c r="C629" s="153">
        <v>3986.919003</v>
      </c>
      <c r="D629" s="151">
        <v>0.73</v>
      </c>
      <c r="E629" s="151" t="s">
        <v>305</v>
      </c>
      <c r="F629" s="152">
        <v>44739</v>
      </c>
      <c r="G629" s="155">
        <f t="shared" si="9"/>
        <v>6437.3546420210369</v>
      </c>
    </row>
    <row r="630" spans="1:7" x14ac:dyDescent="0.3">
      <c r="A630" s="151">
        <v>760199</v>
      </c>
      <c r="B630" s="152">
        <v>44746</v>
      </c>
      <c r="C630" s="153">
        <v>3988.3001370000002</v>
      </c>
      <c r="D630" s="151">
        <v>0.73</v>
      </c>
      <c r="E630" s="151" t="s">
        <v>305</v>
      </c>
      <c r="F630" s="152">
        <v>44739</v>
      </c>
      <c r="G630" s="155">
        <f t="shared" si="9"/>
        <v>6439.5846470347988</v>
      </c>
    </row>
    <row r="631" spans="1:7" x14ac:dyDescent="0.3">
      <c r="A631" s="151">
        <v>760199</v>
      </c>
      <c r="B631" s="152">
        <v>44747</v>
      </c>
      <c r="C631" s="153">
        <v>3989.6817500000002</v>
      </c>
      <c r="D631" s="151">
        <v>0.73</v>
      </c>
      <c r="E631" s="151" t="s">
        <v>305</v>
      </c>
      <c r="F631" s="152">
        <v>44739</v>
      </c>
      <c r="G631" s="155">
        <f t="shared" si="9"/>
        <v>6441.8154254509973</v>
      </c>
    </row>
    <row r="632" spans="1:7" x14ac:dyDescent="0.3">
      <c r="A632" s="151">
        <v>760199</v>
      </c>
      <c r="B632" s="152">
        <v>44748</v>
      </c>
      <c r="C632" s="153">
        <v>3991.0638410000001</v>
      </c>
      <c r="D632" s="151">
        <v>0.73</v>
      </c>
      <c r="E632" s="151" t="s">
        <v>305</v>
      </c>
      <c r="F632" s="152">
        <v>44739</v>
      </c>
      <c r="G632" s="155">
        <f t="shared" si="9"/>
        <v>6444.0469756550137</v>
      </c>
    </row>
    <row r="633" spans="1:7" x14ac:dyDescent="0.3">
      <c r="A633" s="151">
        <v>760199</v>
      </c>
      <c r="B633" s="152">
        <v>44749</v>
      </c>
      <c r="C633" s="153">
        <v>3992.4464109999999</v>
      </c>
      <c r="D633" s="151">
        <v>0.73</v>
      </c>
      <c r="E633" s="151" t="s">
        <v>305</v>
      </c>
      <c r="F633" s="152">
        <v>44739</v>
      </c>
      <c r="G633" s="155">
        <f t="shared" si="9"/>
        <v>6446.2792992614686</v>
      </c>
    </row>
    <row r="634" spans="1:7" x14ac:dyDescent="0.3">
      <c r="A634" s="151">
        <v>760199</v>
      </c>
      <c r="B634" s="152">
        <v>44750</v>
      </c>
      <c r="C634" s="153">
        <v>3992.0185569999999</v>
      </c>
      <c r="D634" s="151">
        <v>0.67</v>
      </c>
      <c r="E634" s="151" t="s">
        <v>9</v>
      </c>
      <c r="F634" s="152">
        <v>44750</v>
      </c>
      <c r="G634" s="155">
        <f t="shared" si="9"/>
        <v>6445.5884781208997</v>
      </c>
    </row>
    <row r="635" spans="1:7" x14ac:dyDescent="0.3">
      <c r="A635" s="151">
        <v>760199</v>
      </c>
      <c r="B635" s="152">
        <v>44753</v>
      </c>
      <c r="C635" s="153">
        <v>3993.2882639999998</v>
      </c>
      <c r="D635" s="151">
        <v>0.67</v>
      </c>
      <c r="E635" s="151" t="s">
        <v>9</v>
      </c>
      <c r="F635" s="152">
        <v>44750</v>
      </c>
      <c r="G635" s="155">
        <f t="shared" si="9"/>
        <v>6447.6385709982078</v>
      </c>
    </row>
    <row r="636" spans="1:7" x14ac:dyDescent="0.3">
      <c r="A636" s="151">
        <v>760199</v>
      </c>
      <c r="B636" s="152">
        <v>44754</v>
      </c>
      <c r="C636" s="153">
        <v>3994.5583750000001</v>
      </c>
      <c r="D636" s="151">
        <v>0.67</v>
      </c>
      <c r="E636" s="151" t="s">
        <v>9</v>
      </c>
      <c r="F636" s="152">
        <v>44750</v>
      </c>
      <c r="G636" s="155">
        <f t="shared" si="9"/>
        <v>6449.6893161815387</v>
      </c>
    </row>
    <row r="637" spans="1:7" x14ac:dyDescent="0.3">
      <c r="A637" s="151">
        <v>760199</v>
      </c>
      <c r="B637" s="152">
        <v>44755</v>
      </c>
      <c r="C637" s="153">
        <v>3995.8288899999998</v>
      </c>
      <c r="D637" s="151">
        <v>0.67</v>
      </c>
      <c r="E637" s="151" t="s">
        <v>9</v>
      </c>
      <c r="F637" s="152">
        <v>44750</v>
      </c>
      <c r="G637" s="155">
        <f t="shared" si="9"/>
        <v>6451.7407136708907</v>
      </c>
    </row>
    <row r="638" spans="1:7" x14ac:dyDescent="0.3">
      <c r="A638" s="151">
        <v>760199</v>
      </c>
      <c r="B638" s="152">
        <v>44756</v>
      </c>
      <c r="C638" s="153">
        <v>3997.0998089999998</v>
      </c>
      <c r="D638" s="151">
        <v>0.67</v>
      </c>
      <c r="E638" s="151" t="s">
        <v>9</v>
      </c>
      <c r="F638" s="152">
        <v>44750</v>
      </c>
      <c r="G638" s="155">
        <f t="shared" si="9"/>
        <v>6453.7927634662656</v>
      </c>
    </row>
    <row r="639" spans="1:7" x14ac:dyDescent="0.3">
      <c r="A639" s="151">
        <v>760199</v>
      </c>
      <c r="B639" s="152">
        <v>44757</v>
      </c>
      <c r="C639" s="153">
        <v>3998.3711330000001</v>
      </c>
      <c r="D639" s="151">
        <v>0.67</v>
      </c>
      <c r="E639" s="151" t="s">
        <v>9</v>
      </c>
      <c r="F639" s="152">
        <v>44750</v>
      </c>
      <c r="G639" s="155">
        <f t="shared" si="9"/>
        <v>6455.8454671822819</v>
      </c>
    </row>
    <row r="640" spans="1:7" x14ac:dyDescent="0.3">
      <c r="A640" s="151">
        <v>760199</v>
      </c>
      <c r="B640" s="152">
        <v>44760</v>
      </c>
      <c r="C640" s="153">
        <v>3997.1680080000001</v>
      </c>
      <c r="D640" s="151">
        <v>-0.63</v>
      </c>
      <c r="E640" s="151" t="s">
        <v>305</v>
      </c>
      <c r="F640" s="152">
        <v>44760</v>
      </c>
      <c r="G640" s="155">
        <f t="shared" si="9"/>
        <v>6453.9028788583519</v>
      </c>
    </row>
    <row r="641" spans="1:7" x14ac:dyDescent="0.3">
      <c r="A641" s="151">
        <v>760199</v>
      </c>
      <c r="B641" s="152">
        <v>44761</v>
      </c>
      <c r="C641" s="153">
        <v>3995.9652449999999</v>
      </c>
      <c r="D641" s="151">
        <v>-0.63</v>
      </c>
      <c r="E641" s="151" t="s">
        <v>305</v>
      </c>
      <c r="F641" s="152">
        <v>44760</v>
      </c>
      <c r="G641" s="155">
        <f t="shared" si="9"/>
        <v>6451.9608750264515</v>
      </c>
    </row>
    <row r="642" spans="1:7" x14ac:dyDescent="0.3">
      <c r="A642" s="151">
        <v>760199</v>
      </c>
      <c r="B642" s="152">
        <v>44762</v>
      </c>
      <c r="C642" s="153">
        <v>3994.7628439999999</v>
      </c>
      <c r="D642" s="151">
        <v>-0.63</v>
      </c>
      <c r="E642" s="151" t="s">
        <v>305</v>
      </c>
      <c r="F642" s="152">
        <v>44760</v>
      </c>
      <c r="G642" s="155">
        <f t="shared" si="9"/>
        <v>6450.0194556865808</v>
      </c>
    </row>
    <row r="643" spans="1:7" x14ac:dyDescent="0.3">
      <c r="A643" s="151">
        <v>760199</v>
      </c>
      <c r="B643" s="152">
        <v>44763</v>
      </c>
      <c r="C643" s="153">
        <v>3993.5608050000001</v>
      </c>
      <c r="D643" s="151">
        <v>-0.63</v>
      </c>
      <c r="E643" s="151" t="s">
        <v>305</v>
      </c>
      <c r="F643" s="152">
        <v>44760</v>
      </c>
      <c r="G643" s="155">
        <f t="shared" si="9"/>
        <v>6448.0786208387408</v>
      </c>
    </row>
    <row r="644" spans="1:7" x14ac:dyDescent="0.3">
      <c r="A644" s="151">
        <v>760199</v>
      </c>
      <c r="B644" s="152">
        <v>44764</v>
      </c>
      <c r="C644" s="153">
        <v>3992.3591280000001</v>
      </c>
      <c r="D644" s="151">
        <v>-0.63</v>
      </c>
      <c r="E644" s="151" t="s">
        <v>305</v>
      </c>
      <c r="F644" s="152">
        <v>44760</v>
      </c>
      <c r="G644" s="155">
        <f t="shared" si="9"/>
        <v>6446.1383704829304</v>
      </c>
    </row>
    <row r="645" spans="1:7" x14ac:dyDescent="0.3">
      <c r="A645" s="151">
        <v>760199</v>
      </c>
      <c r="B645" s="152">
        <v>44767</v>
      </c>
      <c r="C645" s="153">
        <v>3991.1578129999998</v>
      </c>
      <c r="D645" s="151">
        <v>-0.63</v>
      </c>
      <c r="E645" s="151" t="s">
        <v>305</v>
      </c>
      <c r="F645" s="152">
        <v>44760</v>
      </c>
      <c r="G645" s="155">
        <f t="shared" ref="G645:G708" si="10">+C645/C644*G644</f>
        <v>6444.1987046191489</v>
      </c>
    </row>
    <row r="646" spans="1:7" x14ac:dyDescent="0.3">
      <c r="A646" s="151">
        <v>760199</v>
      </c>
      <c r="B646" s="152">
        <v>44768</v>
      </c>
      <c r="C646" s="153">
        <v>3989.956858</v>
      </c>
      <c r="D646" s="151">
        <v>-0.63</v>
      </c>
      <c r="E646" s="151" t="s">
        <v>305</v>
      </c>
      <c r="F646" s="152">
        <v>44760</v>
      </c>
      <c r="G646" s="155">
        <f t="shared" si="10"/>
        <v>6442.2596200181597</v>
      </c>
    </row>
    <row r="647" spans="1:7" x14ac:dyDescent="0.3">
      <c r="A647" s="151">
        <v>760199</v>
      </c>
      <c r="B647" s="152">
        <v>44769</v>
      </c>
      <c r="C647" s="153">
        <v>3988.2974749999998</v>
      </c>
      <c r="D647" s="151">
        <v>-0.66</v>
      </c>
      <c r="E647" s="151" t="s">
        <v>305</v>
      </c>
      <c r="F647" s="152">
        <v>44769</v>
      </c>
      <c r="G647" s="155">
        <f t="shared" si="10"/>
        <v>6439.5803489193731</v>
      </c>
    </row>
    <row r="648" spans="1:7" x14ac:dyDescent="0.3">
      <c r="A648" s="151">
        <v>760199</v>
      </c>
      <c r="B648" s="152">
        <v>44770</v>
      </c>
      <c r="C648" s="153">
        <v>3987.0400530000002</v>
      </c>
      <c r="D648" s="151">
        <v>-0.66</v>
      </c>
      <c r="E648" s="151" t="s">
        <v>305</v>
      </c>
      <c r="F648" s="152">
        <v>44769</v>
      </c>
      <c r="G648" s="155">
        <f t="shared" si="10"/>
        <v>6437.5500916348419</v>
      </c>
    </row>
    <row r="649" spans="1:7" x14ac:dyDescent="0.3">
      <c r="A649" s="151">
        <v>760199</v>
      </c>
      <c r="B649" s="152">
        <v>44771</v>
      </c>
      <c r="C649" s="153">
        <v>3985.7830279999998</v>
      </c>
      <c r="D649" s="151">
        <v>-0.66</v>
      </c>
      <c r="E649" s="151" t="s">
        <v>305</v>
      </c>
      <c r="F649" s="152">
        <v>44769</v>
      </c>
      <c r="G649" s="155">
        <f t="shared" si="10"/>
        <v>6435.5204753539992</v>
      </c>
    </row>
    <row r="650" spans="1:7" x14ac:dyDescent="0.3">
      <c r="A650" s="151">
        <v>760199</v>
      </c>
      <c r="B650" s="152">
        <v>44774</v>
      </c>
      <c r="C650" s="153">
        <v>3984.5264000000002</v>
      </c>
      <c r="D650" s="151">
        <v>-0.66</v>
      </c>
      <c r="E650" s="151" t="s">
        <v>305</v>
      </c>
      <c r="F650" s="152">
        <v>44769</v>
      </c>
      <c r="G650" s="155">
        <f t="shared" si="10"/>
        <v>6433.4915000768478</v>
      </c>
    </row>
    <row r="651" spans="1:7" x14ac:dyDescent="0.3">
      <c r="A651" s="151">
        <v>760199</v>
      </c>
      <c r="B651" s="152">
        <v>44775</v>
      </c>
      <c r="C651" s="153">
        <v>3983.2701670000001</v>
      </c>
      <c r="D651" s="151">
        <v>-0.66</v>
      </c>
      <c r="E651" s="151" t="s">
        <v>305</v>
      </c>
      <c r="F651" s="152">
        <v>44769</v>
      </c>
      <c r="G651" s="155">
        <f t="shared" si="10"/>
        <v>6431.4631625741476</v>
      </c>
    </row>
    <row r="652" spans="1:7" x14ac:dyDescent="0.3">
      <c r="A652" s="151">
        <v>760199</v>
      </c>
      <c r="B652" s="152">
        <v>44776</v>
      </c>
      <c r="C652" s="153">
        <v>3982.0143309999999</v>
      </c>
      <c r="D652" s="151">
        <v>-0.66</v>
      </c>
      <c r="E652" s="151" t="s">
        <v>305</v>
      </c>
      <c r="F652" s="152">
        <v>44769</v>
      </c>
      <c r="G652" s="155">
        <f t="shared" si="10"/>
        <v>6429.4354660751378</v>
      </c>
    </row>
    <row r="653" spans="1:7" x14ac:dyDescent="0.3">
      <c r="A653" s="151">
        <v>760199</v>
      </c>
      <c r="B653" s="152">
        <v>44777</v>
      </c>
      <c r="C653" s="153">
        <v>3980.7588900000001</v>
      </c>
      <c r="D653" s="151">
        <v>-0.66</v>
      </c>
      <c r="E653" s="151" t="s">
        <v>305</v>
      </c>
      <c r="F653" s="152">
        <v>44769</v>
      </c>
      <c r="G653" s="155">
        <f t="shared" si="10"/>
        <v>6427.408407350581</v>
      </c>
    </row>
    <row r="654" spans="1:7" x14ac:dyDescent="0.3">
      <c r="A654" s="151">
        <v>760199</v>
      </c>
      <c r="B654" s="152">
        <v>44778</v>
      </c>
      <c r="C654" s="153">
        <v>3979.5038460000001</v>
      </c>
      <c r="D654" s="151">
        <v>-0.66</v>
      </c>
      <c r="E654" s="151" t="s">
        <v>305</v>
      </c>
      <c r="F654" s="152">
        <v>44769</v>
      </c>
      <c r="G654" s="155">
        <f t="shared" si="10"/>
        <v>6425.3819896297136</v>
      </c>
    </row>
    <row r="655" spans="1:7" x14ac:dyDescent="0.3">
      <c r="A655" s="151">
        <v>760199</v>
      </c>
      <c r="B655" s="152">
        <v>44781</v>
      </c>
      <c r="C655" s="153">
        <v>3978.2491970000001</v>
      </c>
      <c r="D655" s="151">
        <v>-0.66</v>
      </c>
      <c r="E655" s="151" t="s">
        <v>305</v>
      </c>
      <c r="F655" s="152">
        <v>44769</v>
      </c>
      <c r="G655" s="155">
        <f t="shared" si="10"/>
        <v>6423.3562096832984</v>
      </c>
    </row>
    <row r="656" spans="1:7" x14ac:dyDescent="0.3">
      <c r="A656" s="151">
        <v>760199</v>
      </c>
      <c r="B656" s="152">
        <v>44782</v>
      </c>
      <c r="C656" s="153">
        <v>3976.3466480000002</v>
      </c>
      <c r="D656" s="151">
        <v>-0.68</v>
      </c>
      <c r="E656" s="151" t="s">
        <v>9</v>
      </c>
      <c r="F656" s="152">
        <v>44782</v>
      </c>
      <c r="G656" s="155">
        <f t="shared" si="10"/>
        <v>6420.284318173186</v>
      </c>
    </row>
    <row r="657" spans="1:7" x14ac:dyDescent="0.3">
      <c r="A657" s="151">
        <v>760199</v>
      </c>
      <c r="B657" s="152">
        <v>44783</v>
      </c>
      <c r="C657" s="153">
        <v>3975.0548749999998</v>
      </c>
      <c r="D657" s="151">
        <v>-0.68</v>
      </c>
      <c r="E657" s="151" t="s">
        <v>9</v>
      </c>
      <c r="F657" s="152">
        <v>44782</v>
      </c>
      <c r="G657" s="155">
        <f t="shared" si="10"/>
        <v>6418.1985971159656</v>
      </c>
    </row>
    <row r="658" spans="1:7" x14ac:dyDescent="0.3">
      <c r="A658" s="151">
        <v>760199</v>
      </c>
      <c r="B658" s="152">
        <v>44784</v>
      </c>
      <c r="C658" s="153">
        <v>3973.7635209999999</v>
      </c>
      <c r="D658" s="151">
        <v>-0.68</v>
      </c>
      <c r="E658" s="151" t="s">
        <v>9</v>
      </c>
      <c r="F658" s="152">
        <v>44782</v>
      </c>
      <c r="G658" s="155">
        <f t="shared" si="10"/>
        <v>6416.1135525840509</v>
      </c>
    </row>
    <row r="659" spans="1:7" x14ac:dyDescent="0.3">
      <c r="A659" s="151">
        <v>760199</v>
      </c>
      <c r="B659" s="152">
        <v>44785</v>
      </c>
      <c r="C659" s="153">
        <v>3972.4725870000002</v>
      </c>
      <c r="D659" s="151">
        <v>-0.68</v>
      </c>
      <c r="E659" s="151" t="s">
        <v>9</v>
      </c>
      <c r="F659" s="152">
        <v>44782</v>
      </c>
      <c r="G659" s="155">
        <f t="shared" si="10"/>
        <v>6414.0291861920605</v>
      </c>
    </row>
    <row r="660" spans="1:7" x14ac:dyDescent="0.3">
      <c r="A660" s="151">
        <v>760199</v>
      </c>
      <c r="B660" s="152">
        <v>44788</v>
      </c>
      <c r="C660" s="153">
        <v>3971.1820729999999</v>
      </c>
      <c r="D660" s="151">
        <v>-0.68</v>
      </c>
      <c r="E660" s="151" t="s">
        <v>9</v>
      </c>
      <c r="F660" s="152">
        <v>44782</v>
      </c>
      <c r="G660" s="155">
        <f t="shared" si="10"/>
        <v>6411.9454979399934</v>
      </c>
    </row>
    <row r="661" spans="1:7" x14ac:dyDescent="0.3">
      <c r="A661" s="151">
        <v>760199</v>
      </c>
      <c r="B661" s="152">
        <v>44789</v>
      </c>
      <c r="C661" s="153">
        <v>3970.766447</v>
      </c>
      <c r="D661" s="151">
        <v>-0.23</v>
      </c>
      <c r="E661" s="151" t="s">
        <v>305</v>
      </c>
      <c r="F661" s="152">
        <v>44789</v>
      </c>
      <c r="G661" s="155">
        <f t="shared" si="10"/>
        <v>6411.2744203589264</v>
      </c>
    </row>
    <row r="662" spans="1:7" x14ac:dyDescent="0.3">
      <c r="A662" s="151">
        <v>760199</v>
      </c>
      <c r="B662" s="152">
        <v>44790</v>
      </c>
      <c r="C662" s="153">
        <v>3970.3508649999999</v>
      </c>
      <c r="D662" s="151">
        <v>-0.23</v>
      </c>
      <c r="E662" s="151" t="s">
        <v>305</v>
      </c>
      <c r="F662" s="152">
        <v>44789</v>
      </c>
      <c r="G662" s="155">
        <f t="shared" si="10"/>
        <v>6410.6034138210889</v>
      </c>
    </row>
    <row r="663" spans="1:7" x14ac:dyDescent="0.3">
      <c r="A663" s="151">
        <v>760199</v>
      </c>
      <c r="B663" s="152">
        <v>44791</v>
      </c>
      <c r="C663" s="153">
        <v>3969.9353270000001</v>
      </c>
      <c r="D663" s="151">
        <v>-0.23</v>
      </c>
      <c r="E663" s="151" t="s">
        <v>305</v>
      </c>
      <c r="F663" s="152">
        <v>44789</v>
      </c>
      <c r="G663" s="155">
        <f t="shared" si="10"/>
        <v>6409.9324783264829</v>
      </c>
    </row>
    <row r="664" spans="1:7" x14ac:dyDescent="0.3">
      <c r="A664" s="151">
        <v>760199</v>
      </c>
      <c r="B664" s="152">
        <v>44792</v>
      </c>
      <c r="C664" s="153">
        <v>3969.519832</v>
      </c>
      <c r="D664" s="151">
        <v>-0.23</v>
      </c>
      <c r="E664" s="151" t="s">
        <v>305</v>
      </c>
      <c r="F664" s="152">
        <v>44789</v>
      </c>
      <c r="G664" s="155">
        <f t="shared" si="10"/>
        <v>6409.2616122604868</v>
      </c>
    </row>
    <row r="665" spans="1:7" x14ac:dyDescent="0.3">
      <c r="A665" s="151">
        <v>760199</v>
      </c>
      <c r="B665" s="152">
        <v>44795</v>
      </c>
      <c r="C665" s="153">
        <v>3969.1043800000002</v>
      </c>
      <c r="D665" s="151">
        <v>-0.23</v>
      </c>
      <c r="E665" s="151" t="s">
        <v>305</v>
      </c>
      <c r="F665" s="152">
        <v>44789</v>
      </c>
      <c r="G665" s="155">
        <f t="shared" si="10"/>
        <v>6408.5908156231026</v>
      </c>
    </row>
    <row r="666" spans="1:7" x14ac:dyDescent="0.3">
      <c r="A666" s="151">
        <v>760199</v>
      </c>
      <c r="B666" s="152">
        <v>44796</v>
      </c>
      <c r="C666" s="153">
        <v>3968.6889719999999</v>
      </c>
      <c r="D666" s="151">
        <v>-0.23</v>
      </c>
      <c r="E666" s="151" t="s">
        <v>305</v>
      </c>
      <c r="F666" s="152">
        <v>44789</v>
      </c>
      <c r="G666" s="155">
        <f t="shared" si="10"/>
        <v>6407.9200900289479</v>
      </c>
    </row>
    <row r="667" spans="1:7" x14ac:dyDescent="0.3">
      <c r="A667" s="151">
        <v>760199</v>
      </c>
      <c r="B667" s="152">
        <v>44797</v>
      </c>
      <c r="C667" s="153">
        <v>3968.273608</v>
      </c>
      <c r="D667" s="151">
        <v>-0.23</v>
      </c>
      <c r="E667" s="151" t="s">
        <v>305</v>
      </c>
      <c r="F667" s="152">
        <v>44789</v>
      </c>
      <c r="G667" s="155">
        <f t="shared" si="10"/>
        <v>6407.2494354780238</v>
      </c>
    </row>
    <row r="668" spans="1:7" x14ac:dyDescent="0.3">
      <c r="A668" s="151">
        <v>760199</v>
      </c>
      <c r="B668" s="152">
        <v>44798</v>
      </c>
      <c r="C668" s="153">
        <v>3966.4116410000001</v>
      </c>
      <c r="D668" s="151">
        <v>-0.33</v>
      </c>
      <c r="E668" s="151" t="s">
        <v>305</v>
      </c>
      <c r="F668" s="152">
        <v>44798</v>
      </c>
      <c r="G668" s="155">
        <f t="shared" si="10"/>
        <v>6404.2430684307574</v>
      </c>
    </row>
    <row r="669" spans="1:7" x14ac:dyDescent="0.3">
      <c r="A669" s="151">
        <v>760199</v>
      </c>
      <c r="B669" s="152">
        <v>44799</v>
      </c>
      <c r="C669" s="153">
        <v>3965.81574</v>
      </c>
      <c r="D669" s="151">
        <v>-0.33</v>
      </c>
      <c r="E669" s="151" t="s">
        <v>305</v>
      </c>
      <c r="F669" s="152">
        <v>44798</v>
      </c>
      <c r="G669" s="155">
        <f t="shared" si="10"/>
        <v>6403.2809154335055</v>
      </c>
    </row>
    <row r="670" spans="1:7" x14ac:dyDescent="0.3">
      <c r="A670" s="151">
        <v>760199</v>
      </c>
      <c r="B670" s="152">
        <v>44802</v>
      </c>
      <c r="C670" s="153">
        <v>3965.2199289999999</v>
      </c>
      <c r="D670" s="151">
        <v>-0.33</v>
      </c>
      <c r="E670" s="151" t="s">
        <v>305</v>
      </c>
      <c r="F670" s="152">
        <v>44798</v>
      </c>
      <c r="G670" s="155">
        <f t="shared" si="10"/>
        <v>6402.3189077519519</v>
      </c>
    </row>
    <row r="671" spans="1:7" x14ac:dyDescent="0.3">
      <c r="A671" s="151">
        <v>760199</v>
      </c>
      <c r="B671" s="152">
        <v>44803</v>
      </c>
      <c r="C671" s="153">
        <v>3964.6242069999998</v>
      </c>
      <c r="D671" s="151">
        <v>-0.33</v>
      </c>
      <c r="E671" s="151" t="s">
        <v>305</v>
      </c>
      <c r="F671" s="152">
        <v>44798</v>
      </c>
      <c r="G671" s="155">
        <f t="shared" si="10"/>
        <v>6401.357043771477</v>
      </c>
    </row>
    <row r="672" spans="1:7" x14ac:dyDescent="0.3">
      <c r="A672" s="151">
        <v>760199</v>
      </c>
      <c r="B672" s="152">
        <v>44804</v>
      </c>
      <c r="C672" s="153">
        <v>3964.0285749999998</v>
      </c>
      <c r="D672" s="151">
        <v>-0.33</v>
      </c>
      <c r="E672" s="151" t="s">
        <v>305</v>
      </c>
      <c r="F672" s="152">
        <v>44798</v>
      </c>
      <c r="G672" s="155">
        <f t="shared" si="10"/>
        <v>6400.3953251067005</v>
      </c>
    </row>
    <row r="673" spans="1:7" x14ac:dyDescent="0.3">
      <c r="A673" s="151">
        <v>760199</v>
      </c>
      <c r="B673" s="152">
        <v>44805</v>
      </c>
      <c r="C673" s="153">
        <v>3963.4330319999999</v>
      </c>
      <c r="D673" s="151">
        <v>-0.33</v>
      </c>
      <c r="E673" s="151" t="s">
        <v>305</v>
      </c>
      <c r="F673" s="152">
        <v>44798</v>
      </c>
      <c r="G673" s="155">
        <f t="shared" si="10"/>
        <v>6399.4337501430036</v>
      </c>
    </row>
    <row r="674" spans="1:7" x14ac:dyDescent="0.3">
      <c r="A674" s="151">
        <v>760199</v>
      </c>
      <c r="B674" s="152">
        <v>44806</v>
      </c>
      <c r="C674" s="153">
        <v>3962.837579</v>
      </c>
      <c r="D674" s="151">
        <v>-0.33</v>
      </c>
      <c r="E674" s="151" t="s">
        <v>305</v>
      </c>
      <c r="F674" s="152">
        <v>44798</v>
      </c>
      <c r="G674" s="155">
        <f t="shared" si="10"/>
        <v>6398.4723204950042</v>
      </c>
    </row>
    <row r="675" spans="1:7" x14ac:dyDescent="0.3">
      <c r="A675" s="151">
        <v>760199</v>
      </c>
      <c r="B675" s="152">
        <v>44809</v>
      </c>
      <c r="C675" s="153">
        <v>3962.2422150000002</v>
      </c>
      <c r="D675" s="151">
        <v>-0.33</v>
      </c>
      <c r="E675" s="151" t="s">
        <v>305</v>
      </c>
      <c r="F675" s="152">
        <v>44798</v>
      </c>
      <c r="G675" s="155">
        <f t="shared" si="10"/>
        <v>6397.5110345480844</v>
      </c>
    </row>
    <row r="676" spans="1:7" x14ac:dyDescent="0.3">
      <c r="A676" s="151">
        <v>760199</v>
      </c>
      <c r="B676" s="152">
        <v>44810</v>
      </c>
      <c r="C676" s="153">
        <v>3961.646941</v>
      </c>
      <c r="D676" s="151">
        <v>-0.33</v>
      </c>
      <c r="E676" s="151" t="s">
        <v>305</v>
      </c>
      <c r="F676" s="152">
        <v>44798</v>
      </c>
      <c r="G676" s="155">
        <f t="shared" si="10"/>
        <v>6396.5498939168619</v>
      </c>
    </row>
    <row r="677" spans="1:7" x14ac:dyDescent="0.3">
      <c r="A677" s="151">
        <v>760199</v>
      </c>
      <c r="B677" s="152">
        <v>44812</v>
      </c>
      <c r="C677" s="153">
        <v>3961.0517559999998</v>
      </c>
      <c r="D677" s="151">
        <v>-0.33</v>
      </c>
      <c r="E677" s="151" t="s">
        <v>305</v>
      </c>
      <c r="F677" s="152">
        <v>44798</v>
      </c>
      <c r="G677" s="155">
        <f t="shared" si="10"/>
        <v>6395.5888969867183</v>
      </c>
    </row>
    <row r="678" spans="1:7" x14ac:dyDescent="0.3">
      <c r="A678" s="151">
        <v>760199</v>
      </c>
      <c r="B678" s="152">
        <v>44813</v>
      </c>
      <c r="C678" s="153">
        <v>3959.4828339999999</v>
      </c>
      <c r="D678" s="151">
        <v>-0.36</v>
      </c>
      <c r="E678" s="151" t="s">
        <v>9</v>
      </c>
      <c r="F678" s="152">
        <v>44813</v>
      </c>
      <c r="G678" s="155">
        <f t="shared" si="10"/>
        <v>6393.0556859252274</v>
      </c>
    </row>
    <row r="679" spans="1:7" x14ac:dyDescent="0.3">
      <c r="A679" s="151">
        <v>760199</v>
      </c>
      <c r="B679" s="152">
        <v>44816</v>
      </c>
      <c r="C679" s="153">
        <v>3958.8338880000001</v>
      </c>
      <c r="D679" s="151">
        <v>-0.36</v>
      </c>
      <c r="E679" s="151" t="s">
        <v>9</v>
      </c>
      <c r="F679" s="152">
        <v>44813</v>
      </c>
      <c r="G679" s="155">
        <f t="shared" si="10"/>
        <v>6392.0078854701951</v>
      </c>
    </row>
    <row r="680" spans="1:7" x14ac:dyDescent="0.3">
      <c r="A680" s="151">
        <v>760199</v>
      </c>
      <c r="B680" s="152">
        <v>44817</v>
      </c>
      <c r="C680" s="153">
        <v>3958.1850479999998</v>
      </c>
      <c r="D680" s="151">
        <v>-0.36</v>
      </c>
      <c r="E680" s="151" t="s">
        <v>9</v>
      </c>
      <c r="F680" s="152">
        <v>44813</v>
      </c>
      <c r="G680" s="155">
        <f t="shared" si="10"/>
        <v>6390.9602561647625</v>
      </c>
    </row>
    <row r="681" spans="1:7" x14ac:dyDescent="0.3">
      <c r="A681" s="151">
        <v>760199</v>
      </c>
      <c r="B681" s="152">
        <v>44818</v>
      </c>
      <c r="C681" s="153">
        <v>3957.5363149999998</v>
      </c>
      <c r="D681" s="151">
        <v>-0.36</v>
      </c>
      <c r="E681" s="151" t="s">
        <v>9</v>
      </c>
      <c r="F681" s="152">
        <v>44813</v>
      </c>
      <c r="G681" s="155">
        <f t="shared" si="10"/>
        <v>6389.9127996235493</v>
      </c>
    </row>
    <row r="682" spans="1:7" x14ac:dyDescent="0.3">
      <c r="A682" s="151">
        <v>760199</v>
      </c>
      <c r="B682" s="152">
        <v>44819</v>
      </c>
      <c r="C682" s="153">
        <v>3956.8876879999998</v>
      </c>
      <c r="D682" s="151">
        <v>-0.36</v>
      </c>
      <c r="E682" s="151" t="s">
        <v>9</v>
      </c>
      <c r="F682" s="152">
        <v>44813</v>
      </c>
      <c r="G682" s="155">
        <f t="shared" si="10"/>
        <v>6388.8655142319349</v>
      </c>
    </row>
    <row r="683" spans="1:7" x14ac:dyDescent="0.3">
      <c r="A683" s="151">
        <v>760199</v>
      </c>
      <c r="B683" s="152">
        <v>44820</v>
      </c>
      <c r="C683" s="153">
        <v>3956.6614500000001</v>
      </c>
      <c r="D683" s="151">
        <v>-0.12</v>
      </c>
      <c r="E683" s="151" t="s">
        <v>305</v>
      </c>
      <c r="F683" s="152">
        <v>44820</v>
      </c>
      <c r="G683" s="155">
        <f t="shared" si="10"/>
        <v>6388.5002260887832</v>
      </c>
    </row>
    <row r="684" spans="1:7" x14ac:dyDescent="0.3">
      <c r="A684" s="151">
        <v>760199</v>
      </c>
      <c r="B684" s="152">
        <v>44823</v>
      </c>
      <c r="C684" s="153">
        <v>3956.4352260000001</v>
      </c>
      <c r="D684" s="151">
        <v>-0.12</v>
      </c>
      <c r="E684" s="151" t="s">
        <v>305</v>
      </c>
      <c r="F684" s="152">
        <v>44820</v>
      </c>
      <c r="G684" s="155">
        <f t="shared" si="10"/>
        <v>6388.1349605502955</v>
      </c>
    </row>
    <row r="685" spans="1:7" x14ac:dyDescent="0.3">
      <c r="A685" s="151">
        <v>760199</v>
      </c>
      <c r="B685" s="152">
        <v>44824</v>
      </c>
      <c r="C685" s="153">
        <v>3956.2090149999999</v>
      </c>
      <c r="D685" s="151">
        <v>-0.12</v>
      </c>
      <c r="E685" s="151" t="s">
        <v>305</v>
      </c>
      <c r="F685" s="152">
        <v>44820</v>
      </c>
      <c r="G685" s="155">
        <f t="shared" si="10"/>
        <v>6387.7697160018533</v>
      </c>
    </row>
    <row r="686" spans="1:7" x14ac:dyDescent="0.3">
      <c r="A686" s="151">
        <v>760199</v>
      </c>
      <c r="B686" s="152">
        <v>44825</v>
      </c>
      <c r="C686" s="153">
        <v>3955.9828160000002</v>
      </c>
      <c r="D686" s="151">
        <v>-0.12</v>
      </c>
      <c r="E686" s="151" t="s">
        <v>305</v>
      </c>
      <c r="F686" s="152">
        <v>44820</v>
      </c>
      <c r="G686" s="155">
        <f t="shared" si="10"/>
        <v>6387.4044908288388</v>
      </c>
    </row>
    <row r="687" spans="1:7" x14ac:dyDescent="0.3">
      <c r="A687" s="151">
        <v>760199</v>
      </c>
      <c r="B687" s="152">
        <v>44826</v>
      </c>
      <c r="C687" s="153">
        <v>3955.7566310000002</v>
      </c>
      <c r="D687" s="151">
        <v>-0.12</v>
      </c>
      <c r="E687" s="151" t="s">
        <v>305</v>
      </c>
      <c r="F687" s="152">
        <v>44820</v>
      </c>
      <c r="G687" s="155">
        <f t="shared" si="10"/>
        <v>6387.0392882604874</v>
      </c>
    </row>
    <row r="688" spans="1:7" x14ac:dyDescent="0.3">
      <c r="A688" s="151">
        <v>760199</v>
      </c>
      <c r="B688" s="152">
        <v>44827</v>
      </c>
      <c r="C688" s="153">
        <v>3955.5304580000002</v>
      </c>
      <c r="D688" s="151">
        <v>-0.12</v>
      </c>
      <c r="E688" s="151" t="s">
        <v>305</v>
      </c>
      <c r="F688" s="152">
        <v>44820</v>
      </c>
      <c r="G688" s="155">
        <f t="shared" si="10"/>
        <v>6386.6741050675619</v>
      </c>
    </row>
    <row r="689" spans="1:7" x14ac:dyDescent="0.3">
      <c r="A689" s="151">
        <v>760199</v>
      </c>
      <c r="B689" s="152">
        <v>44830</v>
      </c>
      <c r="C689" s="153">
        <v>3955.3042989999999</v>
      </c>
      <c r="D689" s="151">
        <v>-0.12</v>
      </c>
      <c r="E689" s="151" t="s">
        <v>305</v>
      </c>
      <c r="F689" s="152">
        <v>44820</v>
      </c>
      <c r="G689" s="155">
        <f t="shared" si="10"/>
        <v>6386.3089444793004</v>
      </c>
    </row>
    <row r="690" spans="1:7" x14ac:dyDescent="0.3">
      <c r="A690" s="151">
        <v>760199</v>
      </c>
      <c r="B690" s="152">
        <v>44831</v>
      </c>
      <c r="C690" s="153">
        <v>3955.078152</v>
      </c>
      <c r="D690" s="151">
        <v>-0.12</v>
      </c>
      <c r="E690" s="151" t="s">
        <v>305</v>
      </c>
      <c r="F690" s="152">
        <v>44820</v>
      </c>
      <c r="G690" s="155">
        <f t="shared" si="10"/>
        <v>6385.9438032664657</v>
      </c>
    </row>
    <row r="691" spans="1:7" x14ac:dyDescent="0.3">
      <c r="A691" s="151">
        <v>760199</v>
      </c>
      <c r="B691" s="152">
        <v>44832</v>
      </c>
      <c r="C691" s="153">
        <v>3951.4561290000001</v>
      </c>
      <c r="D691" s="151">
        <v>-0.32</v>
      </c>
      <c r="E691" s="151" t="s">
        <v>305</v>
      </c>
      <c r="F691" s="152">
        <v>44832</v>
      </c>
      <c r="G691" s="155">
        <f t="shared" si="10"/>
        <v>6380.0956165952512</v>
      </c>
    </row>
    <row r="692" spans="1:7" x14ac:dyDescent="0.3">
      <c r="A692" s="151">
        <v>760199</v>
      </c>
      <c r="B692" s="152">
        <v>44833</v>
      </c>
      <c r="C692" s="153">
        <v>3950.853083</v>
      </c>
      <c r="D692" s="151">
        <v>-0.32</v>
      </c>
      <c r="E692" s="151" t="s">
        <v>305</v>
      </c>
      <c r="F692" s="152">
        <v>44832</v>
      </c>
      <c r="G692" s="155">
        <f t="shared" si="10"/>
        <v>6379.1219271461969</v>
      </c>
    </row>
    <row r="693" spans="1:7" x14ac:dyDescent="0.3">
      <c r="A693" s="151">
        <v>760199</v>
      </c>
      <c r="B693" s="152">
        <v>44834</v>
      </c>
      <c r="C693" s="153">
        <v>3950.250129</v>
      </c>
      <c r="D693" s="151">
        <v>-0.32</v>
      </c>
      <c r="E693" s="151" t="s">
        <v>305</v>
      </c>
      <c r="F693" s="152">
        <v>44832</v>
      </c>
      <c r="G693" s="155">
        <f t="shared" si="10"/>
        <v>6378.1483862420791</v>
      </c>
    </row>
    <row r="694" spans="1:7" x14ac:dyDescent="0.3">
      <c r="A694" s="151">
        <v>760199</v>
      </c>
      <c r="B694" s="152">
        <v>44837</v>
      </c>
      <c r="C694" s="153">
        <v>3949.6472669999998</v>
      </c>
      <c r="D694" s="151">
        <v>-0.32</v>
      </c>
      <c r="E694" s="151" t="s">
        <v>305</v>
      </c>
      <c r="F694" s="152">
        <v>44832</v>
      </c>
      <c r="G694" s="155">
        <f t="shared" si="10"/>
        <v>6377.1749938828971</v>
      </c>
    </row>
    <row r="695" spans="1:7" x14ac:dyDescent="0.3">
      <c r="A695" s="151">
        <v>760199</v>
      </c>
      <c r="B695" s="152">
        <v>44838</v>
      </c>
      <c r="C695" s="153">
        <v>3949.0444969999999</v>
      </c>
      <c r="D695" s="151">
        <v>-0.32</v>
      </c>
      <c r="E695" s="151" t="s">
        <v>305</v>
      </c>
      <c r="F695" s="152">
        <v>44832</v>
      </c>
      <c r="G695" s="155">
        <f t="shared" si="10"/>
        <v>6376.2017500686507</v>
      </c>
    </row>
    <row r="696" spans="1:7" x14ac:dyDescent="0.3">
      <c r="A696" s="151">
        <v>760199</v>
      </c>
      <c r="B696" s="152">
        <v>44839</v>
      </c>
      <c r="C696" s="153">
        <v>3948.4418190000001</v>
      </c>
      <c r="D696" s="151">
        <v>-0.32</v>
      </c>
      <c r="E696" s="151" t="s">
        <v>305</v>
      </c>
      <c r="F696" s="152">
        <v>44832</v>
      </c>
      <c r="G696" s="155">
        <f t="shared" si="10"/>
        <v>6375.2286547993399</v>
      </c>
    </row>
    <row r="697" spans="1:7" x14ac:dyDescent="0.3">
      <c r="A697" s="151">
        <v>760199</v>
      </c>
      <c r="B697" s="152">
        <v>44840</v>
      </c>
      <c r="C697" s="153">
        <v>3947.8392330000001</v>
      </c>
      <c r="D697" s="151">
        <v>-0.32</v>
      </c>
      <c r="E697" s="151" t="s">
        <v>305</v>
      </c>
      <c r="F697" s="152">
        <v>44832</v>
      </c>
      <c r="G697" s="155">
        <f t="shared" si="10"/>
        <v>6374.2557080749648</v>
      </c>
    </row>
    <row r="698" spans="1:7" x14ac:dyDescent="0.3">
      <c r="A698" s="151">
        <v>760199</v>
      </c>
      <c r="B698" s="152">
        <v>44841</v>
      </c>
      <c r="C698" s="153">
        <v>3947.2367380000001</v>
      </c>
      <c r="D698" s="151">
        <v>-0.32</v>
      </c>
      <c r="E698" s="151" t="s">
        <v>305</v>
      </c>
      <c r="F698" s="152">
        <v>44832</v>
      </c>
      <c r="G698" s="155">
        <f t="shared" si="10"/>
        <v>6373.2829082809067</v>
      </c>
    </row>
    <row r="699" spans="1:7" x14ac:dyDescent="0.3">
      <c r="A699" s="151">
        <v>760199</v>
      </c>
      <c r="B699" s="152">
        <v>44844</v>
      </c>
      <c r="C699" s="153">
        <v>3946.6343360000001</v>
      </c>
      <c r="D699" s="151">
        <v>-0.32</v>
      </c>
      <c r="E699" s="151" t="s">
        <v>305</v>
      </c>
      <c r="F699" s="152">
        <v>44832</v>
      </c>
      <c r="G699" s="155">
        <f t="shared" si="10"/>
        <v>6372.3102586464038</v>
      </c>
    </row>
    <row r="700" spans="1:7" x14ac:dyDescent="0.3">
      <c r="A700" s="151">
        <v>760199</v>
      </c>
      <c r="B700" s="152">
        <v>44845</v>
      </c>
      <c r="C700" s="153">
        <v>3947.0487459999999</v>
      </c>
      <c r="D700" s="151">
        <v>-0.28999999999999998</v>
      </c>
      <c r="E700" s="151" t="s">
        <v>9</v>
      </c>
      <c r="F700" s="152">
        <v>44845</v>
      </c>
      <c r="G700" s="155">
        <f t="shared" si="10"/>
        <v>6372.9793728509294</v>
      </c>
    </row>
    <row r="701" spans="1:7" x14ac:dyDescent="0.3">
      <c r="A701" s="151">
        <v>760199</v>
      </c>
      <c r="B701" s="152">
        <v>44847</v>
      </c>
      <c r="C701" s="153">
        <v>3946.5028560000001</v>
      </c>
      <c r="D701" s="151">
        <v>-0.28999999999999998</v>
      </c>
      <c r="E701" s="151" t="s">
        <v>9</v>
      </c>
      <c r="F701" s="152">
        <v>44845</v>
      </c>
      <c r="G701" s="155">
        <f t="shared" si="10"/>
        <v>6372.0979685578177</v>
      </c>
    </row>
    <row r="702" spans="1:7" x14ac:dyDescent="0.3">
      <c r="A702" s="151">
        <v>760199</v>
      </c>
      <c r="B702" s="152">
        <v>44848</v>
      </c>
      <c r="C702" s="153">
        <v>3945.957042</v>
      </c>
      <c r="D702" s="151">
        <v>-0.28999999999999998</v>
      </c>
      <c r="E702" s="151" t="s">
        <v>9</v>
      </c>
      <c r="F702" s="152">
        <v>44845</v>
      </c>
      <c r="G702" s="155">
        <f t="shared" si="10"/>
        <v>6371.2166869757402</v>
      </c>
    </row>
    <row r="703" spans="1:7" x14ac:dyDescent="0.3">
      <c r="A703" s="151">
        <v>760199</v>
      </c>
      <c r="B703" s="152">
        <v>44851</v>
      </c>
      <c r="C703" s="153">
        <v>3945.4113040000002</v>
      </c>
      <c r="D703" s="151">
        <v>-0.28999999999999998</v>
      </c>
      <c r="E703" s="151" t="s">
        <v>9</v>
      </c>
      <c r="F703" s="152">
        <v>44845</v>
      </c>
      <c r="G703" s="155">
        <f t="shared" si="10"/>
        <v>6370.3355281046961</v>
      </c>
    </row>
    <row r="704" spans="1:7" x14ac:dyDescent="0.3">
      <c r="A704" s="151">
        <v>760199</v>
      </c>
      <c r="B704" s="152">
        <v>44852</v>
      </c>
      <c r="C704" s="153">
        <v>3946.0612780000001</v>
      </c>
      <c r="D704" s="151">
        <v>0.33</v>
      </c>
      <c r="E704" s="151" t="s">
        <v>305</v>
      </c>
      <c r="F704" s="152">
        <v>44852</v>
      </c>
      <c r="G704" s="155">
        <f t="shared" si="10"/>
        <v>6371.3849883879238</v>
      </c>
    </row>
    <row r="705" spans="1:7" x14ac:dyDescent="0.3">
      <c r="A705" s="151">
        <v>760199</v>
      </c>
      <c r="B705" s="152">
        <v>44853</v>
      </c>
      <c r="C705" s="153">
        <v>3946.7113599999998</v>
      </c>
      <c r="D705" s="151">
        <v>0.33</v>
      </c>
      <c r="E705" s="151" t="s">
        <v>305</v>
      </c>
      <c r="F705" s="152">
        <v>44852</v>
      </c>
      <c r="G705" s="155">
        <f t="shared" si="10"/>
        <v>6372.4346230499877</v>
      </c>
    </row>
    <row r="706" spans="1:7" x14ac:dyDescent="0.3">
      <c r="A706" s="151">
        <v>760199</v>
      </c>
      <c r="B706" s="152">
        <v>44854</v>
      </c>
      <c r="C706" s="153">
        <v>3947.3615490000002</v>
      </c>
      <c r="D706" s="151">
        <v>0.33</v>
      </c>
      <c r="E706" s="151" t="s">
        <v>305</v>
      </c>
      <c r="F706" s="152">
        <v>44852</v>
      </c>
      <c r="G706" s="155">
        <f t="shared" si="10"/>
        <v>6373.4844304762728</v>
      </c>
    </row>
    <row r="707" spans="1:7" x14ac:dyDescent="0.3">
      <c r="A707" s="151">
        <v>760199</v>
      </c>
      <c r="B707" s="152">
        <v>44855</v>
      </c>
      <c r="C707" s="153">
        <v>3948.011845</v>
      </c>
      <c r="D707" s="151">
        <v>0.33</v>
      </c>
      <c r="E707" s="151" t="s">
        <v>305</v>
      </c>
      <c r="F707" s="152">
        <v>44852</v>
      </c>
      <c r="G707" s="155">
        <f t="shared" si="10"/>
        <v>6374.5344106667753</v>
      </c>
    </row>
    <row r="708" spans="1:7" x14ac:dyDescent="0.3">
      <c r="A708" s="151">
        <v>760199</v>
      </c>
      <c r="B708" s="152">
        <v>44858</v>
      </c>
      <c r="C708" s="153">
        <v>3948.6622480000001</v>
      </c>
      <c r="D708" s="151">
        <v>0.33</v>
      </c>
      <c r="E708" s="151" t="s">
        <v>305</v>
      </c>
      <c r="F708" s="152">
        <v>44852</v>
      </c>
      <c r="G708" s="155">
        <f t="shared" si="10"/>
        <v>6375.5845636214963</v>
      </c>
    </row>
    <row r="709" spans="1:7" x14ac:dyDescent="0.3">
      <c r="A709" s="151">
        <v>760199</v>
      </c>
      <c r="B709" s="152">
        <v>44859</v>
      </c>
      <c r="C709" s="153">
        <v>3949.312758</v>
      </c>
      <c r="D709" s="151">
        <v>0.33</v>
      </c>
      <c r="E709" s="151" t="s">
        <v>305</v>
      </c>
      <c r="F709" s="152">
        <v>44852</v>
      </c>
      <c r="G709" s="155">
        <f t="shared" ref="G709:G755" si="11">+C709/C708*G708</f>
        <v>6376.6348893404356</v>
      </c>
    </row>
    <row r="710" spans="1:7" x14ac:dyDescent="0.3">
      <c r="A710" s="151">
        <v>760199</v>
      </c>
      <c r="B710" s="152">
        <v>44860</v>
      </c>
      <c r="C710" s="153">
        <v>3951.4785689999999</v>
      </c>
      <c r="D710" s="151">
        <v>0.44</v>
      </c>
      <c r="E710" s="151" t="s">
        <v>305</v>
      </c>
      <c r="F710" s="152">
        <v>44860</v>
      </c>
      <c r="G710" s="155">
        <f t="shared" si="11"/>
        <v>6380.131848642618</v>
      </c>
    </row>
    <row r="711" spans="1:7" x14ac:dyDescent="0.3">
      <c r="A711" s="151">
        <v>760199</v>
      </c>
      <c r="B711" s="152">
        <v>44861</v>
      </c>
      <c r="C711" s="153">
        <v>3952.3460829999999</v>
      </c>
      <c r="D711" s="151">
        <v>0.44</v>
      </c>
      <c r="E711" s="151" t="s">
        <v>305</v>
      </c>
      <c r="F711" s="152">
        <v>44860</v>
      </c>
      <c r="G711" s="155">
        <f t="shared" si="11"/>
        <v>6381.5325531140952</v>
      </c>
    </row>
    <row r="712" spans="1:7" x14ac:dyDescent="0.3">
      <c r="A712" s="151">
        <v>760199</v>
      </c>
      <c r="B712" s="152">
        <v>44862</v>
      </c>
      <c r="C712" s="153">
        <v>3953.2137870000001</v>
      </c>
      <c r="D712" s="151">
        <v>0.44</v>
      </c>
      <c r="E712" s="151" t="s">
        <v>305</v>
      </c>
      <c r="F712" s="152">
        <v>44860</v>
      </c>
      <c r="G712" s="155">
        <f t="shared" si="11"/>
        <v>6382.9335643631575</v>
      </c>
    </row>
    <row r="713" spans="1:7" x14ac:dyDescent="0.3">
      <c r="A713" s="151">
        <v>760199</v>
      </c>
      <c r="B713" s="152">
        <v>44865</v>
      </c>
      <c r="C713" s="153">
        <v>3954.0816810000001</v>
      </c>
      <c r="D713" s="151">
        <v>0.44</v>
      </c>
      <c r="E713" s="151" t="s">
        <v>305</v>
      </c>
      <c r="F713" s="152">
        <v>44860</v>
      </c>
      <c r="G713" s="155">
        <f t="shared" si="11"/>
        <v>6384.3348823898041</v>
      </c>
    </row>
    <row r="714" spans="1:7" x14ac:dyDescent="0.3">
      <c r="A714" s="151">
        <v>760199</v>
      </c>
      <c r="B714" s="152">
        <v>44866</v>
      </c>
      <c r="C714" s="153">
        <v>3954.9497660000002</v>
      </c>
      <c r="D714" s="151">
        <v>0.44</v>
      </c>
      <c r="E714" s="151" t="s">
        <v>305</v>
      </c>
      <c r="F714" s="152">
        <v>44860</v>
      </c>
      <c r="G714" s="155">
        <f t="shared" si="11"/>
        <v>6385.7365088086535</v>
      </c>
    </row>
    <row r="715" spans="1:7" x14ac:dyDescent="0.3">
      <c r="A715" s="151">
        <v>760199</v>
      </c>
      <c r="B715" s="152">
        <v>44868</v>
      </c>
      <c r="C715" s="153">
        <v>3955.8180419999999</v>
      </c>
      <c r="D715" s="151">
        <v>0.44</v>
      </c>
      <c r="E715" s="151" t="s">
        <v>305</v>
      </c>
      <c r="F715" s="152">
        <v>44860</v>
      </c>
      <c r="G715" s="155">
        <f t="shared" si="11"/>
        <v>6387.1384436197068</v>
      </c>
    </row>
    <row r="716" spans="1:7" x14ac:dyDescent="0.3">
      <c r="A716" s="151">
        <v>760199</v>
      </c>
      <c r="B716" s="152">
        <v>44869</v>
      </c>
      <c r="C716" s="153">
        <v>3956.6865079999998</v>
      </c>
      <c r="D716" s="151">
        <v>0.44</v>
      </c>
      <c r="E716" s="151" t="s">
        <v>305</v>
      </c>
      <c r="F716" s="152">
        <v>44860</v>
      </c>
      <c r="G716" s="155">
        <f t="shared" si="11"/>
        <v>6388.5406852083452</v>
      </c>
    </row>
    <row r="717" spans="1:7" x14ac:dyDescent="0.3">
      <c r="A717" s="151">
        <v>760199</v>
      </c>
      <c r="B717" s="152">
        <v>44872</v>
      </c>
      <c r="C717" s="153">
        <v>3957.5551650000002</v>
      </c>
      <c r="D717" s="151">
        <v>0.44</v>
      </c>
      <c r="E717" s="151" t="s">
        <v>305</v>
      </c>
      <c r="F717" s="152">
        <v>44860</v>
      </c>
      <c r="G717" s="155">
        <f t="shared" si="11"/>
        <v>6389.9432351891874</v>
      </c>
    </row>
    <row r="718" spans="1:7" x14ac:dyDescent="0.3">
      <c r="A718" s="151">
        <v>760199</v>
      </c>
      <c r="B718" s="152">
        <v>44873</v>
      </c>
      <c r="C718" s="153">
        <v>3958.4240129999998</v>
      </c>
      <c r="D718" s="151">
        <v>0.44</v>
      </c>
      <c r="E718" s="151" t="s">
        <v>305</v>
      </c>
      <c r="F718" s="152">
        <v>44860</v>
      </c>
      <c r="G718" s="155">
        <f t="shared" si="11"/>
        <v>6391.3460935622325</v>
      </c>
    </row>
    <row r="719" spans="1:7" x14ac:dyDescent="0.3">
      <c r="A719" s="151">
        <v>760199</v>
      </c>
      <c r="B719" s="152">
        <v>44874</v>
      </c>
      <c r="C719" s="153">
        <v>3959.2930510000001</v>
      </c>
      <c r="D719" s="151">
        <v>0.44</v>
      </c>
      <c r="E719" s="151" t="s">
        <v>305</v>
      </c>
      <c r="F719" s="152">
        <v>44860</v>
      </c>
      <c r="G719" s="155">
        <f t="shared" si="11"/>
        <v>6392.7492587128618</v>
      </c>
    </row>
    <row r="720" spans="1:7" x14ac:dyDescent="0.3">
      <c r="A720" s="151">
        <v>760199</v>
      </c>
      <c r="B720" s="152">
        <v>44875</v>
      </c>
      <c r="C720" s="153">
        <v>3965.1914320000001</v>
      </c>
      <c r="D720" s="151">
        <v>0.59</v>
      </c>
      <c r="E720" s="151" t="s">
        <v>9</v>
      </c>
      <c r="F720" s="152">
        <v>44875</v>
      </c>
      <c r="G720" s="155">
        <f t="shared" si="11"/>
        <v>6402.2728959581091</v>
      </c>
    </row>
    <row r="721" spans="1:7" x14ac:dyDescent="0.3">
      <c r="A721" s="151">
        <v>760199</v>
      </c>
      <c r="B721" s="152">
        <v>44876</v>
      </c>
      <c r="C721" s="153">
        <v>3966.3580529999999</v>
      </c>
      <c r="D721" s="151">
        <v>0.59</v>
      </c>
      <c r="E721" s="151" t="s">
        <v>9</v>
      </c>
      <c r="F721" s="152">
        <v>44875</v>
      </c>
      <c r="G721" s="155">
        <f t="shared" si="11"/>
        <v>6404.1565442349311</v>
      </c>
    </row>
    <row r="722" spans="1:7" x14ac:dyDescent="0.3">
      <c r="A722" s="151">
        <v>760199</v>
      </c>
      <c r="B722" s="152">
        <v>44879</v>
      </c>
      <c r="C722" s="153">
        <v>3967.5250160000001</v>
      </c>
      <c r="D722" s="151">
        <v>0.59</v>
      </c>
      <c r="E722" s="151" t="s">
        <v>9</v>
      </c>
      <c r="F722" s="152">
        <v>44875</v>
      </c>
      <c r="G722" s="155">
        <f t="shared" si="11"/>
        <v>6406.0407447114058</v>
      </c>
    </row>
    <row r="723" spans="1:7" x14ac:dyDescent="0.3">
      <c r="A723" s="151">
        <v>760199</v>
      </c>
      <c r="B723" s="152">
        <v>44881</v>
      </c>
      <c r="C723" s="153">
        <v>3968.6923230000002</v>
      </c>
      <c r="D723" s="151">
        <v>0.59</v>
      </c>
      <c r="E723" s="151" t="s">
        <v>9</v>
      </c>
      <c r="F723" s="152">
        <v>44875</v>
      </c>
      <c r="G723" s="155">
        <f t="shared" si="11"/>
        <v>6407.9255006167705</v>
      </c>
    </row>
    <row r="724" spans="1:7" x14ac:dyDescent="0.3">
      <c r="A724" s="151">
        <v>760199</v>
      </c>
      <c r="B724" s="152">
        <v>44882</v>
      </c>
      <c r="C724" s="153">
        <v>3969.5409399999999</v>
      </c>
      <c r="D724" s="151">
        <v>0.45</v>
      </c>
      <c r="E724" s="151" t="s">
        <v>305</v>
      </c>
      <c r="F724" s="152">
        <v>44882</v>
      </c>
      <c r="G724" s="155">
        <f t="shared" si="11"/>
        <v>6409.295693635524</v>
      </c>
    </row>
    <row r="725" spans="1:7" x14ac:dyDescent="0.3">
      <c r="A725" s="151">
        <v>760199</v>
      </c>
      <c r="B725" s="152">
        <v>44883</v>
      </c>
      <c r="C725" s="153">
        <v>3970.3897379999999</v>
      </c>
      <c r="D725" s="151">
        <v>0.45</v>
      </c>
      <c r="E725" s="151" t="s">
        <v>305</v>
      </c>
      <c r="F725" s="152">
        <v>44882</v>
      </c>
      <c r="G725" s="155">
        <f t="shared" si="11"/>
        <v>6410.6661789002928</v>
      </c>
    </row>
    <row r="726" spans="1:7" x14ac:dyDescent="0.3">
      <c r="A726" s="151">
        <v>760199</v>
      </c>
      <c r="B726" s="152">
        <v>44886</v>
      </c>
      <c r="C726" s="153">
        <v>3971.2387180000001</v>
      </c>
      <c r="D726" s="151">
        <v>0.45</v>
      </c>
      <c r="E726" s="151" t="s">
        <v>305</v>
      </c>
      <c r="F726" s="152">
        <v>44882</v>
      </c>
      <c r="G726" s="155">
        <f t="shared" si="11"/>
        <v>6412.0369580256956</v>
      </c>
    </row>
    <row r="727" spans="1:7" x14ac:dyDescent="0.3">
      <c r="A727" s="151">
        <v>760199</v>
      </c>
      <c r="B727" s="152">
        <v>44887</v>
      </c>
      <c r="C727" s="153">
        <v>3972.08788</v>
      </c>
      <c r="D727" s="151">
        <v>0.45</v>
      </c>
      <c r="E727" s="151" t="s">
        <v>305</v>
      </c>
      <c r="F727" s="152">
        <v>44882</v>
      </c>
      <c r="G727" s="155">
        <f t="shared" si="11"/>
        <v>6413.4080310117324</v>
      </c>
    </row>
    <row r="728" spans="1:7" x14ac:dyDescent="0.3">
      <c r="A728" s="151">
        <v>760199</v>
      </c>
      <c r="B728" s="152">
        <v>44888</v>
      </c>
      <c r="C728" s="153">
        <v>3972.9372229999999</v>
      </c>
      <c r="D728" s="151">
        <v>0.45</v>
      </c>
      <c r="E728" s="151" t="s">
        <v>305</v>
      </c>
      <c r="F728" s="152">
        <v>44882</v>
      </c>
      <c r="G728" s="155">
        <f t="shared" si="11"/>
        <v>6414.7793962437836</v>
      </c>
    </row>
    <row r="729" spans="1:7" x14ac:dyDescent="0.3">
      <c r="A729" s="151">
        <v>760199</v>
      </c>
      <c r="B729" s="152">
        <v>44889</v>
      </c>
      <c r="C729" s="153">
        <v>3973.7867470000001</v>
      </c>
      <c r="D729" s="151">
        <v>0.45</v>
      </c>
      <c r="E729" s="151" t="s">
        <v>305</v>
      </c>
      <c r="F729" s="152">
        <v>44882</v>
      </c>
      <c r="G729" s="155">
        <f t="shared" si="11"/>
        <v>6416.1510537218501</v>
      </c>
    </row>
    <row r="730" spans="1:7" x14ac:dyDescent="0.3">
      <c r="A730" s="151">
        <v>760199</v>
      </c>
      <c r="B730" s="152">
        <v>44890</v>
      </c>
      <c r="C730" s="153">
        <v>3975.95496</v>
      </c>
      <c r="D730" s="151">
        <v>0.55000000000000004</v>
      </c>
      <c r="E730" s="151" t="s">
        <v>305</v>
      </c>
      <c r="F730" s="152">
        <v>44890</v>
      </c>
      <c r="G730" s="155">
        <f t="shared" si="11"/>
        <v>6419.6518913385507</v>
      </c>
    </row>
    <row r="731" spans="1:7" x14ac:dyDescent="0.3">
      <c r="A731" s="151">
        <v>760199</v>
      </c>
      <c r="B731" s="152">
        <v>44893</v>
      </c>
      <c r="C731" s="153">
        <v>3976.9935639999999</v>
      </c>
      <c r="D731" s="151">
        <v>0.55000000000000004</v>
      </c>
      <c r="E731" s="151" t="s">
        <v>305</v>
      </c>
      <c r="F731" s="152">
        <v>44890</v>
      </c>
      <c r="G731" s="155">
        <f t="shared" si="11"/>
        <v>6421.3288409519209</v>
      </c>
    </row>
    <row r="732" spans="1:7" x14ac:dyDescent="0.3">
      <c r="A732" s="151">
        <v>760199</v>
      </c>
      <c r="B732" s="152">
        <v>44894</v>
      </c>
      <c r="C732" s="153">
        <v>3978.0324390000001</v>
      </c>
      <c r="D732" s="151">
        <v>0.55000000000000004</v>
      </c>
      <c r="E732" s="151" t="s">
        <v>305</v>
      </c>
      <c r="F732" s="152">
        <v>44890</v>
      </c>
      <c r="G732" s="155">
        <f t="shared" si="11"/>
        <v>6423.0062281270039</v>
      </c>
    </row>
    <row r="733" spans="1:7" x14ac:dyDescent="0.3">
      <c r="A733" s="151">
        <v>760199</v>
      </c>
      <c r="B733" s="152">
        <v>44895</v>
      </c>
      <c r="C733" s="153">
        <v>3979.071586</v>
      </c>
      <c r="D733" s="151">
        <v>0.55000000000000004</v>
      </c>
      <c r="E733" s="151" t="s">
        <v>305</v>
      </c>
      <c r="F733" s="152">
        <v>44890</v>
      </c>
      <c r="G733" s="155">
        <f t="shared" si="11"/>
        <v>6424.6840544784181</v>
      </c>
    </row>
    <row r="734" spans="1:7" x14ac:dyDescent="0.3">
      <c r="A734" s="151">
        <v>760199</v>
      </c>
      <c r="B734" s="152">
        <v>44896</v>
      </c>
      <c r="C734" s="153">
        <v>3980.1110039999999</v>
      </c>
      <c r="D734" s="151">
        <v>0.55000000000000004</v>
      </c>
      <c r="E734" s="151" t="s">
        <v>305</v>
      </c>
      <c r="F734" s="152">
        <v>44890</v>
      </c>
      <c r="G734" s="155">
        <f t="shared" si="11"/>
        <v>6426.362318391547</v>
      </c>
    </row>
    <row r="735" spans="1:7" x14ac:dyDescent="0.3">
      <c r="A735" s="151">
        <v>760199</v>
      </c>
      <c r="B735" s="152">
        <v>44897</v>
      </c>
      <c r="C735" s="153">
        <v>3981.1506939999999</v>
      </c>
      <c r="D735" s="151">
        <v>0.55000000000000004</v>
      </c>
      <c r="E735" s="151" t="s">
        <v>305</v>
      </c>
      <c r="F735" s="152">
        <v>44890</v>
      </c>
      <c r="G735" s="155">
        <f t="shared" si="11"/>
        <v>6428.0410214810072</v>
      </c>
    </row>
    <row r="736" spans="1:7" x14ac:dyDescent="0.3">
      <c r="A736" s="151">
        <v>760199</v>
      </c>
      <c r="B736" s="152">
        <v>44900</v>
      </c>
      <c r="C736" s="153">
        <v>3982.1906549999999</v>
      </c>
      <c r="D736" s="151">
        <v>0.55000000000000004</v>
      </c>
      <c r="E736" s="151" t="s">
        <v>305</v>
      </c>
      <c r="F736" s="152">
        <v>44890</v>
      </c>
      <c r="G736" s="155">
        <f t="shared" si="11"/>
        <v>6429.7201621321801</v>
      </c>
    </row>
    <row r="737" spans="1:7" x14ac:dyDescent="0.3">
      <c r="A737" s="151">
        <v>760199</v>
      </c>
      <c r="B737" s="152">
        <v>44901</v>
      </c>
      <c r="C737" s="153">
        <v>3983.230888</v>
      </c>
      <c r="D737" s="151">
        <v>0.55000000000000004</v>
      </c>
      <c r="E737" s="151" t="s">
        <v>305</v>
      </c>
      <c r="F737" s="152">
        <v>44890</v>
      </c>
      <c r="G737" s="155">
        <f t="shared" si="11"/>
        <v>6431.3997419596853</v>
      </c>
    </row>
    <row r="738" spans="1:7" x14ac:dyDescent="0.3">
      <c r="A738" s="151">
        <v>760199</v>
      </c>
      <c r="B738" s="152">
        <v>44902</v>
      </c>
      <c r="C738" s="153">
        <v>3984.2713920000001</v>
      </c>
      <c r="D738" s="151">
        <v>0.55000000000000004</v>
      </c>
      <c r="E738" s="151" t="s">
        <v>305</v>
      </c>
      <c r="F738" s="152">
        <v>44890</v>
      </c>
      <c r="G738" s="155">
        <f t="shared" si="11"/>
        <v>6433.0797593489024</v>
      </c>
    </row>
    <row r="739" spans="1:7" x14ac:dyDescent="0.3">
      <c r="A739" s="151">
        <v>760199</v>
      </c>
      <c r="B739" s="152">
        <v>44903</v>
      </c>
      <c r="C739" s="153">
        <v>3985.3121689999998</v>
      </c>
      <c r="D739" s="151">
        <v>0.55000000000000004</v>
      </c>
      <c r="E739" s="151" t="s">
        <v>305</v>
      </c>
      <c r="F739" s="152">
        <v>44890</v>
      </c>
      <c r="G739" s="155">
        <f t="shared" si="11"/>
        <v>6434.7602175290704</v>
      </c>
    </row>
    <row r="740" spans="1:7" x14ac:dyDescent="0.3">
      <c r="A740" s="151">
        <v>760199</v>
      </c>
      <c r="B740" s="152">
        <v>44904</v>
      </c>
      <c r="C740" s="153">
        <v>3981.8582070000002</v>
      </c>
      <c r="D740" s="151">
        <v>0.41</v>
      </c>
      <c r="E740" s="151" t="s">
        <v>9</v>
      </c>
      <c r="F740" s="152">
        <v>44904</v>
      </c>
      <c r="G740" s="155">
        <f t="shared" si="11"/>
        <v>6429.1833853192029</v>
      </c>
    </row>
    <row r="741" spans="1:7" x14ac:dyDescent="0.3">
      <c r="A741" s="151">
        <v>760199</v>
      </c>
      <c r="B741" s="152">
        <v>44907</v>
      </c>
      <c r="C741" s="153">
        <v>3982.6340300000002</v>
      </c>
      <c r="D741" s="151">
        <v>0.41</v>
      </c>
      <c r="E741" s="151" t="s">
        <v>9</v>
      </c>
      <c r="F741" s="152">
        <v>44904</v>
      </c>
      <c r="G741" s="155">
        <f t="shared" si="11"/>
        <v>6430.436043772178</v>
      </c>
    </row>
    <row r="742" spans="1:7" x14ac:dyDescent="0.3">
      <c r="A742" s="151">
        <v>760199</v>
      </c>
      <c r="B742" s="152">
        <v>44908</v>
      </c>
      <c r="C742" s="153">
        <v>3983.4100039999998</v>
      </c>
      <c r="D742" s="151">
        <v>0.41</v>
      </c>
      <c r="E742" s="151" t="s">
        <v>9</v>
      </c>
      <c r="F742" s="152">
        <v>44904</v>
      </c>
      <c r="G742" s="155">
        <f t="shared" si="11"/>
        <v>6431.688946032602</v>
      </c>
    </row>
    <row r="743" spans="1:7" x14ac:dyDescent="0.3">
      <c r="A743" s="151">
        <v>760199</v>
      </c>
      <c r="B743" s="152">
        <v>44909</v>
      </c>
      <c r="C743" s="153">
        <v>3984.1861279999998</v>
      </c>
      <c r="D743" s="151">
        <v>0.41</v>
      </c>
      <c r="E743" s="151" t="s">
        <v>9</v>
      </c>
      <c r="F743" s="152">
        <v>44904</v>
      </c>
      <c r="G743" s="155">
        <f t="shared" si="11"/>
        <v>6432.9420904858571</v>
      </c>
    </row>
    <row r="744" spans="1:7" x14ac:dyDescent="0.3">
      <c r="A744" s="151">
        <v>760199</v>
      </c>
      <c r="B744" s="152">
        <v>44910</v>
      </c>
      <c r="C744" s="153">
        <v>3984.9624060000001</v>
      </c>
      <c r="D744" s="151">
        <v>0.41</v>
      </c>
      <c r="E744" s="151" t="s">
        <v>9</v>
      </c>
      <c r="F744" s="152">
        <v>44904</v>
      </c>
      <c r="G744" s="155">
        <f t="shared" si="11"/>
        <v>6434.1954835904171</v>
      </c>
    </row>
    <row r="745" spans="1:7" x14ac:dyDescent="0.3">
      <c r="A745" s="151">
        <v>760199</v>
      </c>
      <c r="B745" s="152">
        <v>44911</v>
      </c>
      <c r="C745" s="153">
        <v>3985.95604</v>
      </c>
      <c r="D745" s="151">
        <v>0.55000000000000004</v>
      </c>
      <c r="E745" s="151" t="s">
        <v>305</v>
      </c>
      <c r="F745" s="152">
        <v>44911</v>
      </c>
      <c r="G745" s="155">
        <f t="shared" si="11"/>
        <v>6435.7998237933552</v>
      </c>
    </row>
    <row r="746" spans="1:7" x14ac:dyDescent="0.3">
      <c r="A746" s="151">
        <v>760199</v>
      </c>
      <c r="B746" s="152">
        <v>44914</v>
      </c>
      <c r="C746" s="153">
        <v>3986.9499230000001</v>
      </c>
      <c r="D746" s="151">
        <v>0.55000000000000004</v>
      </c>
      <c r="E746" s="151" t="s">
        <v>305</v>
      </c>
      <c r="F746" s="152">
        <v>44911</v>
      </c>
      <c r="G746" s="155">
        <f t="shared" si="11"/>
        <v>6437.4045660363909</v>
      </c>
    </row>
    <row r="747" spans="1:7" x14ac:dyDescent="0.3">
      <c r="A747" s="151">
        <v>760199</v>
      </c>
      <c r="B747" s="152">
        <v>44915</v>
      </c>
      <c r="C747" s="153">
        <v>3987.9440530000002</v>
      </c>
      <c r="D747" s="151">
        <v>0.55000000000000004</v>
      </c>
      <c r="E747" s="151" t="s">
        <v>305</v>
      </c>
      <c r="F747" s="152">
        <v>44911</v>
      </c>
      <c r="G747" s="155">
        <f t="shared" si="11"/>
        <v>6439.0097070902857</v>
      </c>
    </row>
    <row r="748" spans="1:7" x14ac:dyDescent="0.3">
      <c r="A748" s="151">
        <v>760199</v>
      </c>
      <c r="B748" s="152">
        <v>44916</v>
      </c>
      <c r="C748" s="153">
        <v>3988.9384319999999</v>
      </c>
      <c r="D748" s="151">
        <v>0.55000000000000004</v>
      </c>
      <c r="E748" s="151" t="s">
        <v>305</v>
      </c>
      <c r="F748" s="152">
        <v>44911</v>
      </c>
      <c r="G748" s="155">
        <f t="shared" si="11"/>
        <v>6440.6152501842789</v>
      </c>
    </row>
    <row r="749" spans="1:7" x14ac:dyDescent="0.3">
      <c r="A749" s="151">
        <v>760199</v>
      </c>
      <c r="B749" s="152">
        <v>44917</v>
      </c>
      <c r="C749" s="153">
        <v>3989.9330580000001</v>
      </c>
      <c r="D749" s="151">
        <v>0.55000000000000004</v>
      </c>
      <c r="E749" s="151" t="s">
        <v>305</v>
      </c>
      <c r="F749" s="152">
        <v>44911</v>
      </c>
      <c r="G749" s="155">
        <f t="shared" si="11"/>
        <v>6442.2211920891323</v>
      </c>
    </row>
    <row r="750" spans="1:7" x14ac:dyDescent="0.3">
      <c r="A750" s="151">
        <v>760199</v>
      </c>
      <c r="B750" s="152">
        <v>44918</v>
      </c>
      <c r="C750" s="153">
        <v>3990.9279320000001</v>
      </c>
      <c r="D750" s="151">
        <v>0.55000000000000004</v>
      </c>
      <c r="E750" s="151" t="s">
        <v>305</v>
      </c>
      <c r="F750" s="152">
        <v>44911</v>
      </c>
      <c r="G750" s="155">
        <f t="shared" si="11"/>
        <v>6443.8275344194653</v>
      </c>
    </row>
    <row r="751" spans="1:7" x14ac:dyDescent="0.3">
      <c r="A751" s="151">
        <v>760199</v>
      </c>
      <c r="B751" s="152">
        <v>44921</v>
      </c>
      <c r="C751" s="153">
        <v>3990.4065850000002</v>
      </c>
      <c r="D751" s="151">
        <v>0.43</v>
      </c>
      <c r="E751" s="151" t="s">
        <v>305</v>
      </c>
      <c r="F751" s="152">
        <v>44921</v>
      </c>
      <c r="G751" s="155">
        <f t="shared" si="11"/>
        <v>6442.9857577171979</v>
      </c>
    </row>
    <row r="752" spans="1:7" x14ac:dyDescent="0.3">
      <c r="A752" s="151">
        <v>760199</v>
      </c>
      <c r="B752" s="152">
        <v>44922</v>
      </c>
      <c r="C752" s="153">
        <v>3991.1849320000001</v>
      </c>
      <c r="D752" s="151">
        <v>0.43</v>
      </c>
      <c r="E752" s="151" t="s">
        <v>305</v>
      </c>
      <c r="F752" s="152">
        <v>44921</v>
      </c>
      <c r="G752" s="155">
        <f t="shared" si="11"/>
        <v>6444.2424914681933</v>
      </c>
    </row>
    <row r="753" spans="1:7" x14ac:dyDescent="0.3">
      <c r="A753" s="151">
        <v>760199</v>
      </c>
      <c r="B753" s="152">
        <v>44923</v>
      </c>
      <c r="C753" s="153">
        <v>3991.9634310000001</v>
      </c>
      <c r="D753" s="151">
        <v>0.43</v>
      </c>
      <c r="E753" s="151" t="s">
        <v>305</v>
      </c>
      <c r="F753" s="152">
        <v>44921</v>
      </c>
      <c r="G753" s="155">
        <f t="shared" si="11"/>
        <v>6445.4994706412554</v>
      </c>
    </row>
    <row r="754" spans="1:7" x14ac:dyDescent="0.3">
      <c r="A754" s="151">
        <v>760199</v>
      </c>
      <c r="B754" s="152">
        <v>44924</v>
      </c>
      <c r="C754" s="153">
        <v>3992.7420820000002</v>
      </c>
      <c r="D754" s="151">
        <v>0.43</v>
      </c>
      <c r="E754" s="151" t="s">
        <v>305</v>
      </c>
      <c r="F754" s="152">
        <v>44921</v>
      </c>
      <c r="G754" s="155">
        <f t="shared" si="11"/>
        <v>6446.7566952363859</v>
      </c>
    </row>
    <row r="755" spans="1:7" x14ac:dyDescent="0.3">
      <c r="A755" s="151">
        <v>760199</v>
      </c>
      <c r="B755" s="152">
        <v>44925</v>
      </c>
      <c r="C755" s="153">
        <v>3993.520884</v>
      </c>
      <c r="D755" s="151">
        <v>0.43</v>
      </c>
      <c r="E755" s="151" t="s">
        <v>305</v>
      </c>
      <c r="F755" s="152">
        <v>44921</v>
      </c>
      <c r="G755" s="155">
        <f t="shared" si="11"/>
        <v>6448.0141636389644</v>
      </c>
    </row>
  </sheetData>
  <pageMargins left="0.511811024" right="0.511811024" top="0.78740157499999996" bottom="0.78740157499999996" header="0.31496062000000002" footer="0.31496062000000002"/>
  <pageSetup paperSize="9" orientation="portrait" r:id="rId1"/>
  <headerFooter>
    <oddHeader>&amp;R&amp;"Calibri"&amp;10&amp;K000000#interna&amp;1#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T32"/>
  <sheetViews>
    <sheetView topLeftCell="E1" zoomScale="130" zoomScaleNormal="130" workbookViewId="0">
      <selection activeCell="P1" sqref="P1"/>
    </sheetView>
  </sheetViews>
  <sheetFormatPr defaultRowHeight="15.6" x14ac:dyDescent="0.3"/>
  <cols>
    <col min="1" max="1" width="15.6640625" bestFit="1" customWidth="1"/>
    <col min="2" max="2" width="20.33203125" bestFit="1" customWidth="1"/>
    <col min="3" max="3" width="19.5546875" customWidth="1"/>
    <col min="4" max="4" width="22.5546875" bestFit="1" customWidth="1"/>
    <col min="5" max="5" width="22" customWidth="1"/>
    <col min="6" max="6" width="20.33203125" customWidth="1"/>
    <col min="7" max="7" width="6.88671875" bestFit="1" customWidth="1"/>
    <col min="8" max="8" width="10.44140625" style="2" bestFit="1" customWidth="1"/>
    <col min="9" max="9" width="12.33203125" bestFit="1" customWidth="1"/>
    <col min="10" max="10" width="11.6640625" customWidth="1"/>
    <col min="11" max="11" width="9" bestFit="1" customWidth="1"/>
    <col min="12" max="12" width="13.33203125" customWidth="1"/>
    <col min="13" max="14" width="11.5546875" customWidth="1"/>
    <col min="18" max="18" width="13.33203125" bestFit="1" customWidth="1"/>
    <col min="19" max="21" width="13.33203125" customWidth="1"/>
    <col min="22" max="22" width="33.6640625" bestFit="1" customWidth="1"/>
  </cols>
  <sheetData>
    <row r="1" spans="1:20" ht="31.95" customHeight="1" x14ac:dyDescent="0.3">
      <c r="A1" s="61" t="s">
        <v>108</v>
      </c>
      <c r="B1" s="61" t="s">
        <v>109</v>
      </c>
      <c r="C1" s="61" t="s">
        <v>110</v>
      </c>
      <c r="D1" s="61" t="s">
        <v>114</v>
      </c>
      <c r="E1" s="61" t="s">
        <v>115</v>
      </c>
      <c r="F1" s="61" t="s">
        <v>111</v>
      </c>
      <c r="G1" s="50" t="s">
        <v>112</v>
      </c>
      <c r="H1" s="114" t="s">
        <v>113</v>
      </c>
      <c r="I1" s="49" t="s">
        <v>116</v>
      </c>
      <c r="J1" s="49" t="s">
        <v>296</v>
      </c>
      <c r="K1" s="49" t="s">
        <v>178</v>
      </c>
      <c r="L1" s="49" t="s">
        <v>325</v>
      </c>
      <c r="M1" s="49" t="s">
        <v>295</v>
      </c>
      <c r="N1" s="49" t="s">
        <v>117</v>
      </c>
      <c r="P1" s="55" t="s">
        <v>113</v>
      </c>
      <c r="Q1" s="49" t="s">
        <v>116</v>
      </c>
      <c r="R1" s="49" t="s">
        <v>178</v>
      </c>
      <c r="S1" s="49" t="s">
        <v>325</v>
      </c>
      <c r="T1" s="122" t="s">
        <v>324</v>
      </c>
    </row>
    <row r="2" spans="1:20" ht="15" x14ac:dyDescent="0.3">
      <c r="A2" s="60">
        <v>44865</v>
      </c>
      <c r="B2" s="60"/>
      <c r="C2" s="60"/>
      <c r="D2" s="60"/>
      <c r="E2" s="60"/>
      <c r="F2" s="60"/>
      <c r="G2" s="60"/>
      <c r="H2" s="60"/>
      <c r="I2" s="60"/>
      <c r="J2" s="60"/>
      <c r="K2" s="116">
        <v>6384.34</v>
      </c>
      <c r="L2" s="116">
        <v>0.44</v>
      </c>
      <c r="M2" s="113"/>
      <c r="N2" s="113"/>
      <c r="P2" s="56"/>
      <c r="Q2" s="57"/>
      <c r="R2" s="116">
        <v>6384.34</v>
      </c>
      <c r="S2" s="116">
        <v>0.44</v>
      </c>
      <c r="T2" s="123"/>
    </row>
    <row r="3" spans="1:20" ht="15" x14ac:dyDescent="0.3">
      <c r="A3" s="60">
        <v>44866</v>
      </c>
      <c r="B3" s="60">
        <v>45519</v>
      </c>
      <c r="C3" s="54">
        <f t="shared" ref="C3:C22" si="0">+ROUND((100000/(1+H3/100)^(G3/252)),2)</f>
        <v>90538.83</v>
      </c>
      <c r="D3" s="58"/>
      <c r="E3" s="58"/>
      <c r="F3" s="59"/>
      <c r="G3" s="51">
        <f>NETWORKDAYS(A3,B3-1,Feriados!$A$2:$A$2000)</f>
        <v>448</v>
      </c>
      <c r="H3" s="57">
        <v>5.75</v>
      </c>
      <c r="I3" s="57">
        <v>13.65</v>
      </c>
      <c r="J3" s="53">
        <f>TRUNC(+(1+I3/100)^(1/252),7)</f>
        <v>1.0005078000000001</v>
      </c>
      <c r="K3" s="116">
        <v>6385.74</v>
      </c>
      <c r="L3" s="116">
        <v>0.44</v>
      </c>
      <c r="M3" s="113">
        <f t="shared" ref="M3:M22" si="1">TRUNC(K3/K2,7)</f>
        <v>1.0002192000000001</v>
      </c>
      <c r="N3" s="113">
        <f t="shared" ref="N3:N22" si="2">+J3/M3</f>
        <v>1.0002885367527439</v>
      </c>
      <c r="P3" s="56">
        <v>5.75</v>
      </c>
      <c r="Q3" s="57">
        <v>13.65</v>
      </c>
      <c r="R3" s="116">
        <v>6385.74</v>
      </c>
      <c r="S3" s="116">
        <v>0.44</v>
      </c>
      <c r="T3" s="123">
        <f t="shared" ref="T3:T22" si="3">(100000/((1+P3/100)^(G3/252)))</f>
        <v>90538.83188872163</v>
      </c>
    </row>
    <row r="4" spans="1:20" ht="15" x14ac:dyDescent="0.3">
      <c r="A4" s="60">
        <v>44868</v>
      </c>
      <c r="B4" s="60">
        <v>45519</v>
      </c>
      <c r="C4" s="54">
        <f t="shared" si="0"/>
        <v>90543.73</v>
      </c>
      <c r="D4" s="54">
        <f>+C3</f>
        <v>90538.83</v>
      </c>
      <c r="E4" s="54">
        <f t="shared" ref="E4:E22" si="4">D4*N4</f>
        <v>90564.953780005424</v>
      </c>
      <c r="F4" s="115">
        <f t="shared" ref="F4:F22" si="5">TRUNC((C4-E4)*0.00025*K4,2)</f>
        <v>-33.880000000000003</v>
      </c>
      <c r="G4" s="51">
        <f>NETWORKDAYS(A4,B4-1,Feriados!$A$2:$A$2000)</f>
        <v>447</v>
      </c>
      <c r="H4" s="57">
        <v>5.76</v>
      </c>
      <c r="I4" s="57">
        <v>13.65</v>
      </c>
      <c r="J4" s="53">
        <f>TRUNC(+(1+I4/100)^(1/252),7)</f>
        <v>1.0005078000000001</v>
      </c>
      <c r="K4" s="116">
        <v>6387.14</v>
      </c>
      <c r="L4" s="116">
        <v>0.44</v>
      </c>
      <c r="M4" s="113">
        <f t="shared" si="1"/>
        <v>1.0002192000000001</v>
      </c>
      <c r="N4" s="113">
        <f t="shared" si="2"/>
        <v>1.0002885367527439</v>
      </c>
      <c r="P4" s="56">
        <v>5.76</v>
      </c>
      <c r="Q4" s="57">
        <v>13.65</v>
      </c>
      <c r="R4" s="116">
        <v>6387.14</v>
      </c>
      <c r="S4" s="116">
        <v>0.44</v>
      </c>
      <c r="T4" s="123">
        <f t="shared" si="3"/>
        <v>90543.732660835754</v>
      </c>
    </row>
    <row r="5" spans="1:20" ht="15" x14ac:dyDescent="0.3">
      <c r="A5" s="60">
        <v>44869</v>
      </c>
      <c r="B5" s="60">
        <v>45519</v>
      </c>
      <c r="C5" s="54">
        <f t="shared" si="0"/>
        <v>90639.679999999993</v>
      </c>
      <c r="D5" s="54">
        <f t="shared" ref="D5:D22" si="6">+C4</f>
        <v>90543.73</v>
      </c>
      <c r="E5" s="54">
        <f t="shared" si="4"/>
        <v>90569.719369029248</v>
      </c>
      <c r="F5" s="115">
        <f t="shared" si="5"/>
        <v>111.73</v>
      </c>
      <c r="G5" s="51">
        <f>NETWORKDAYS(A5,B5-1,Feriados!$A$2:$A$2000)</f>
        <v>446</v>
      </c>
      <c r="H5" s="57">
        <v>5.71</v>
      </c>
      <c r="I5" s="57">
        <v>13.65</v>
      </c>
      <c r="J5" s="53">
        <f t="shared" ref="J5:J21" si="7">TRUNC(+(1+I5/100)^(1/252),7)</f>
        <v>1.0005078000000001</v>
      </c>
      <c r="K5" s="116">
        <v>6388.55</v>
      </c>
      <c r="L5" s="116">
        <v>0.44</v>
      </c>
      <c r="M5" s="113">
        <f t="shared" si="1"/>
        <v>1.0002207000000001</v>
      </c>
      <c r="N5" s="113">
        <f t="shared" si="2"/>
        <v>1.000287036651011</v>
      </c>
      <c r="P5" s="56">
        <v>5.71</v>
      </c>
      <c r="Q5" s="57">
        <v>13.65</v>
      </c>
      <c r="R5" s="116">
        <v>6388.55</v>
      </c>
      <c r="S5" s="116">
        <v>0.44</v>
      </c>
      <c r="T5" s="123">
        <f t="shared" si="3"/>
        <v>90639.683223887827</v>
      </c>
    </row>
    <row r="6" spans="1:20" ht="15" x14ac:dyDescent="0.3">
      <c r="A6" s="60">
        <v>44872</v>
      </c>
      <c r="B6" s="60">
        <v>45519</v>
      </c>
      <c r="C6" s="54">
        <f t="shared" si="0"/>
        <v>90553.74</v>
      </c>
      <c r="D6" s="54">
        <f t="shared" si="6"/>
        <v>90639.679999999993</v>
      </c>
      <c r="E6" s="54">
        <f t="shared" si="4"/>
        <v>90665.841943534164</v>
      </c>
      <c r="F6" s="115">
        <f t="shared" si="5"/>
        <v>-179.08</v>
      </c>
      <c r="G6" s="51">
        <f>NETWORKDAYS(A6,B6-1,Feriados!$A$2:$A$2000)</f>
        <v>445</v>
      </c>
      <c r="H6" s="57">
        <v>5.78</v>
      </c>
      <c r="I6" s="57">
        <v>13.65</v>
      </c>
      <c r="J6" s="53">
        <f t="shared" si="7"/>
        <v>1.0005078000000001</v>
      </c>
      <c r="K6" s="116">
        <v>6389.95</v>
      </c>
      <c r="L6" s="116">
        <v>0.44</v>
      </c>
      <c r="M6" s="113">
        <f t="shared" si="1"/>
        <v>1.0002191</v>
      </c>
      <c r="N6" s="113">
        <f t="shared" si="2"/>
        <v>1.0002886367596859</v>
      </c>
      <c r="P6" s="56">
        <v>5.78</v>
      </c>
      <c r="Q6" s="57">
        <v>13.65</v>
      </c>
      <c r="R6" s="116">
        <v>6389.95</v>
      </c>
      <c r="S6" s="116">
        <v>0.44</v>
      </c>
      <c r="T6" s="123">
        <f t="shared" si="3"/>
        <v>90553.743160627404</v>
      </c>
    </row>
    <row r="7" spans="1:20" ht="15" x14ac:dyDescent="0.3">
      <c r="A7" s="60">
        <v>44873</v>
      </c>
      <c r="B7" s="60">
        <v>45519</v>
      </c>
      <c r="C7" s="54">
        <f t="shared" si="0"/>
        <v>90558.85</v>
      </c>
      <c r="D7" s="54">
        <f t="shared" si="6"/>
        <v>90553.74</v>
      </c>
      <c r="E7" s="54">
        <f t="shared" si="4"/>
        <v>90579.88619409551</v>
      </c>
      <c r="F7" s="115">
        <f t="shared" si="5"/>
        <v>-33.61</v>
      </c>
      <c r="G7" s="51">
        <f>NETWORKDAYS(A7,B7-1,Feriados!$A$2:$A$2000)</f>
        <v>444</v>
      </c>
      <c r="H7" s="57">
        <v>5.79</v>
      </c>
      <c r="I7" s="57">
        <v>13.65</v>
      </c>
      <c r="J7" s="53">
        <f t="shared" si="7"/>
        <v>1.0005078000000001</v>
      </c>
      <c r="K7" s="116">
        <v>6391.35</v>
      </c>
      <c r="L7" s="116">
        <v>0.44</v>
      </c>
      <c r="M7" s="113">
        <f t="shared" si="1"/>
        <v>1.000219</v>
      </c>
      <c r="N7" s="113">
        <f t="shared" si="2"/>
        <v>1.0002887367666482</v>
      </c>
      <c r="P7" s="56">
        <v>5.79</v>
      </c>
      <c r="Q7" s="57">
        <v>13.65</v>
      </c>
      <c r="R7" s="116">
        <v>6391.35</v>
      </c>
      <c r="S7" s="116">
        <v>0.44</v>
      </c>
      <c r="T7" s="123">
        <f t="shared" si="3"/>
        <v>90558.852891532006</v>
      </c>
    </row>
    <row r="8" spans="1:20" ht="15" x14ac:dyDescent="0.3">
      <c r="A8" s="60">
        <v>44874</v>
      </c>
      <c r="B8" s="60">
        <v>45519</v>
      </c>
      <c r="C8" s="54">
        <f t="shared" si="0"/>
        <v>90443.78</v>
      </c>
      <c r="D8" s="54">
        <f t="shared" si="6"/>
        <v>90558.85</v>
      </c>
      <c r="E8" s="54">
        <f t="shared" si="4"/>
        <v>90584.997669540389</v>
      </c>
      <c r="F8" s="115">
        <f t="shared" si="5"/>
        <v>-225.69</v>
      </c>
      <c r="G8" s="51">
        <f>NETWORKDAYS(A8,B8-1,Feriados!$A$2:$A$2000)</f>
        <v>443</v>
      </c>
      <c r="H8" s="57">
        <v>5.88</v>
      </c>
      <c r="I8" s="57">
        <v>13.65</v>
      </c>
      <c r="J8" s="53">
        <f t="shared" si="7"/>
        <v>1.0005078000000001</v>
      </c>
      <c r="K8" s="116">
        <v>6392.75</v>
      </c>
      <c r="L8" s="116">
        <v>0.44</v>
      </c>
      <c r="M8" s="113">
        <f t="shared" si="1"/>
        <v>1.000219</v>
      </c>
      <c r="N8" s="113">
        <f t="shared" si="2"/>
        <v>1.0002887367666482</v>
      </c>
      <c r="P8" s="56">
        <v>5.88</v>
      </c>
      <c r="Q8" s="57">
        <v>13.65</v>
      </c>
      <c r="R8" s="116">
        <v>6392.75</v>
      </c>
      <c r="S8" s="116">
        <v>0.44</v>
      </c>
      <c r="T8" s="123">
        <f t="shared" si="3"/>
        <v>90443.775211084256</v>
      </c>
    </row>
    <row r="9" spans="1:20" ht="15" x14ac:dyDescent="0.3">
      <c r="A9" s="60">
        <v>44875</v>
      </c>
      <c r="B9" s="60">
        <v>45519</v>
      </c>
      <c r="C9" s="54">
        <f t="shared" si="0"/>
        <v>89793.84</v>
      </c>
      <c r="D9" s="54">
        <f t="shared" si="6"/>
        <v>90443.78</v>
      </c>
      <c r="E9" s="54">
        <f t="shared" si="4"/>
        <v>90355.159483497133</v>
      </c>
      <c r="F9" s="115">
        <f t="shared" si="5"/>
        <v>-898.42</v>
      </c>
      <c r="G9" s="51">
        <f>NETWORKDAYS(A9,B9-1,Feriados!$A$2:$A$2000)</f>
        <v>442</v>
      </c>
      <c r="H9" s="57">
        <v>6.33</v>
      </c>
      <c r="I9" s="57">
        <v>13.65</v>
      </c>
      <c r="J9" s="53">
        <f t="shared" si="7"/>
        <v>1.0005078000000001</v>
      </c>
      <c r="K9" s="116">
        <v>6402.27</v>
      </c>
      <c r="L9" s="116">
        <v>0.59</v>
      </c>
      <c r="M9" s="113">
        <f t="shared" si="1"/>
        <v>1.0014890999999999</v>
      </c>
      <c r="N9" s="113">
        <f t="shared" si="2"/>
        <v>0.99902015908111241</v>
      </c>
      <c r="P9" s="56">
        <v>6.33</v>
      </c>
      <c r="Q9" s="57">
        <v>13.65</v>
      </c>
      <c r="R9" s="116">
        <v>6402.27</v>
      </c>
      <c r="S9" s="116">
        <v>0.59</v>
      </c>
      <c r="T9" s="123">
        <f t="shared" si="3"/>
        <v>89793.840884474688</v>
      </c>
    </row>
    <row r="10" spans="1:20" ht="15" x14ac:dyDescent="0.3">
      <c r="A10" s="60">
        <v>44876</v>
      </c>
      <c r="B10" s="60">
        <v>45519</v>
      </c>
      <c r="C10" s="54">
        <f t="shared" si="0"/>
        <v>89550.25</v>
      </c>
      <c r="D10" s="54">
        <f t="shared" si="6"/>
        <v>89793.84</v>
      </c>
      <c r="E10" s="54">
        <f t="shared" si="4"/>
        <v>89812.92453662878</v>
      </c>
      <c r="F10" s="115">
        <f t="shared" si="5"/>
        <v>-420.55</v>
      </c>
      <c r="G10" s="51">
        <f>NETWORKDAYS(A10,B10-1,Feriados!$A$2:$A$2000)</f>
        <v>441</v>
      </c>
      <c r="H10" s="57">
        <v>6.51</v>
      </c>
      <c r="I10" s="57">
        <v>13.65</v>
      </c>
      <c r="J10" s="53">
        <f t="shared" si="7"/>
        <v>1.0005078000000001</v>
      </c>
      <c r="K10" s="116">
        <v>6404.16</v>
      </c>
      <c r="L10" s="116">
        <v>0.59</v>
      </c>
      <c r="M10" s="113">
        <f t="shared" si="1"/>
        <v>1.0002952000000001</v>
      </c>
      <c r="N10" s="113">
        <f t="shared" si="2"/>
        <v>1.0002125372590012</v>
      </c>
      <c r="P10" s="56">
        <v>6.51</v>
      </c>
      <c r="Q10" s="57">
        <v>13.65</v>
      </c>
      <c r="R10" s="116">
        <v>6404.16</v>
      </c>
      <c r="S10" s="116">
        <v>0.59</v>
      </c>
      <c r="T10" s="123">
        <f t="shared" si="3"/>
        <v>89550.254986300206</v>
      </c>
    </row>
    <row r="11" spans="1:20" ht="15" x14ac:dyDescent="0.3">
      <c r="A11" s="60">
        <v>44879</v>
      </c>
      <c r="B11" s="60">
        <v>45519</v>
      </c>
      <c r="C11" s="54">
        <f t="shared" si="0"/>
        <v>89822.84</v>
      </c>
      <c r="D11" s="54">
        <f t="shared" si="6"/>
        <v>89550.25</v>
      </c>
      <c r="E11" s="54">
        <f t="shared" si="4"/>
        <v>89569.434987781089</v>
      </c>
      <c r="F11" s="115">
        <f t="shared" si="5"/>
        <v>405.83</v>
      </c>
      <c r="G11" s="51">
        <f>NETWORKDAYS(A11,B11-1,Feriados!$A$2:$A$2000)</f>
        <v>440</v>
      </c>
      <c r="H11" s="57">
        <v>6.34</v>
      </c>
      <c r="I11" s="57">
        <v>13.65</v>
      </c>
      <c r="J11" s="53">
        <f t="shared" si="7"/>
        <v>1.0005078000000001</v>
      </c>
      <c r="K11" s="116">
        <v>6406.04</v>
      </c>
      <c r="L11" s="116">
        <v>0.59</v>
      </c>
      <c r="M11" s="113">
        <f t="shared" si="1"/>
        <v>1.0002934999999999</v>
      </c>
      <c r="N11" s="113">
        <f t="shared" si="2"/>
        <v>1.0002142371214049</v>
      </c>
      <c r="P11" s="56">
        <v>6.34</v>
      </c>
      <c r="Q11" s="57">
        <v>13.65</v>
      </c>
      <c r="R11" s="116">
        <v>6406.04</v>
      </c>
      <c r="S11" s="116">
        <v>0.59</v>
      </c>
      <c r="T11" s="123">
        <f t="shared" si="3"/>
        <v>89822.841814318468</v>
      </c>
    </row>
    <row r="12" spans="1:20" ht="15" x14ac:dyDescent="0.3">
      <c r="A12" s="60">
        <v>44881</v>
      </c>
      <c r="B12" s="60">
        <v>45519</v>
      </c>
      <c r="C12" s="54">
        <f t="shared" si="0"/>
        <v>89609.75</v>
      </c>
      <c r="D12" s="54">
        <f t="shared" si="6"/>
        <v>89822.84</v>
      </c>
      <c r="E12" s="54">
        <f t="shared" si="4"/>
        <v>89841.948663296338</v>
      </c>
      <c r="F12" s="115">
        <f t="shared" si="5"/>
        <v>-371.97</v>
      </c>
      <c r="G12" s="51">
        <f>NETWORKDAYS(A12,B12-1,Feriados!$A$2:$A$2000)</f>
        <v>439</v>
      </c>
      <c r="H12" s="57">
        <v>6.5</v>
      </c>
      <c r="I12" s="57">
        <v>13.65</v>
      </c>
      <c r="J12" s="53">
        <f t="shared" si="7"/>
        <v>1.0005078000000001</v>
      </c>
      <c r="K12" s="116">
        <v>6407.93</v>
      </c>
      <c r="L12" s="116">
        <v>0.59</v>
      </c>
      <c r="M12" s="113">
        <f t="shared" si="1"/>
        <v>1.0002949999999999</v>
      </c>
      <c r="N12" s="113">
        <f t="shared" si="2"/>
        <v>1.0002127372425136</v>
      </c>
      <c r="P12" s="56">
        <v>6.5</v>
      </c>
      <c r="Q12" s="57">
        <v>13.65</v>
      </c>
      <c r="R12" s="116">
        <v>6407.93</v>
      </c>
      <c r="S12" s="116">
        <v>0.59</v>
      </c>
      <c r="T12" s="123">
        <f t="shared" si="3"/>
        <v>89609.746095163107</v>
      </c>
    </row>
    <row r="13" spans="1:20" ht="15" x14ac:dyDescent="0.3">
      <c r="A13" s="60">
        <v>44882</v>
      </c>
      <c r="B13" s="60">
        <v>45519</v>
      </c>
      <c r="C13" s="54">
        <f t="shared" si="0"/>
        <v>89471.46</v>
      </c>
      <c r="D13" s="54">
        <f t="shared" si="6"/>
        <v>89609.75</v>
      </c>
      <c r="E13" s="54">
        <f t="shared" si="4"/>
        <v>89636.098596779877</v>
      </c>
      <c r="F13" s="115">
        <f t="shared" si="5"/>
        <v>-263.8</v>
      </c>
      <c r="G13" s="51">
        <f>NETWORKDAYS(A13,B13-1,Feriados!$A$2:$A$2000)</f>
        <v>438</v>
      </c>
      <c r="H13" s="57">
        <v>6.61</v>
      </c>
      <c r="I13" s="57">
        <v>13.65</v>
      </c>
      <c r="J13" s="53">
        <f t="shared" si="7"/>
        <v>1.0005078000000001</v>
      </c>
      <c r="K13" s="116">
        <v>6409.3</v>
      </c>
      <c r="L13" s="116">
        <v>0.45</v>
      </c>
      <c r="M13" s="113">
        <f t="shared" si="1"/>
        <v>1.0002137</v>
      </c>
      <c r="N13" s="113">
        <f t="shared" si="2"/>
        <v>1.0002940371642581</v>
      </c>
      <c r="P13" s="56">
        <v>6.61</v>
      </c>
      <c r="Q13" s="57">
        <v>13.65</v>
      </c>
      <c r="R13" s="116">
        <v>6409.3</v>
      </c>
      <c r="S13" s="116">
        <v>0.45</v>
      </c>
      <c r="T13" s="123">
        <f t="shared" si="3"/>
        <v>89471.460575326448</v>
      </c>
    </row>
    <row r="14" spans="1:20" ht="15" x14ac:dyDescent="0.3">
      <c r="A14" s="60">
        <v>44883</v>
      </c>
      <c r="B14" s="60">
        <v>45519</v>
      </c>
      <c r="C14" s="54">
        <f t="shared" si="0"/>
        <v>89450.53</v>
      </c>
      <c r="D14" s="54">
        <f t="shared" si="6"/>
        <v>89471.46</v>
      </c>
      <c r="E14" s="54">
        <f t="shared" si="4"/>
        <v>89497.767934380448</v>
      </c>
      <c r="F14" s="115">
        <f t="shared" si="5"/>
        <v>-75.7</v>
      </c>
      <c r="G14" s="51">
        <f>NETWORKDAYS(A14,B14-1,Feriados!$A$2:$A$2000)</f>
        <v>437</v>
      </c>
      <c r="H14" s="57">
        <v>6.64</v>
      </c>
      <c r="I14" s="57">
        <v>13.65</v>
      </c>
      <c r="J14" s="53">
        <f t="shared" si="7"/>
        <v>1.0005078000000001</v>
      </c>
      <c r="K14" s="116">
        <v>6410.67</v>
      </c>
      <c r="L14" s="116">
        <v>0.45</v>
      </c>
      <c r="M14" s="113">
        <f t="shared" si="1"/>
        <v>1.0002137</v>
      </c>
      <c r="N14" s="113">
        <f t="shared" si="2"/>
        <v>1.0002940371642581</v>
      </c>
      <c r="P14" s="56">
        <v>6.64</v>
      </c>
      <c r="Q14" s="57">
        <v>13.65</v>
      </c>
      <c r="R14" s="116">
        <v>6410.67</v>
      </c>
      <c r="S14" s="116">
        <v>0.45</v>
      </c>
      <c r="T14" s="123">
        <f t="shared" si="3"/>
        <v>89450.534103929429</v>
      </c>
    </row>
    <row r="15" spans="1:20" ht="15" x14ac:dyDescent="0.3">
      <c r="A15" s="60">
        <v>44886</v>
      </c>
      <c r="B15" s="60">
        <v>45519</v>
      </c>
      <c r="C15" s="54">
        <f t="shared" si="0"/>
        <v>89516.92</v>
      </c>
      <c r="D15" s="54">
        <f t="shared" si="6"/>
        <v>89450.53</v>
      </c>
      <c r="E15" s="54">
        <f t="shared" si="4"/>
        <v>89476.831780182591</v>
      </c>
      <c r="F15" s="115">
        <f t="shared" si="5"/>
        <v>64.260000000000005</v>
      </c>
      <c r="G15" s="51">
        <f>NETWORKDAYS(A15,B15-1,Feriados!$A$2:$A$2000)</f>
        <v>436</v>
      </c>
      <c r="H15" s="57">
        <v>6.61</v>
      </c>
      <c r="I15" s="57">
        <v>13.65</v>
      </c>
      <c r="J15" s="53">
        <f t="shared" si="7"/>
        <v>1.0005078000000001</v>
      </c>
      <c r="K15" s="116">
        <v>6412.04</v>
      </c>
      <c r="L15" s="116">
        <v>0.45</v>
      </c>
      <c r="M15" s="113">
        <f t="shared" si="1"/>
        <v>1.0002137</v>
      </c>
      <c r="N15" s="113">
        <f t="shared" si="2"/>
        <v>1.0002940371642581</v>
      </c>
      <c r="P15" s="56">
        <v>6.61</v>
      </c>
      <c r="Q15" s="57">
        <v>13.65</v>
      </c>
      <c r="R15" s="116">
        <v>6412.04</v>
      </c>
      <c r="S15" s="116">
        <v>0.45</v>
      </c>
      <c r="T15" s="123">
        <f t="shared" si="3"/>
        <v>89516.92300582405</v>
      </c>
    </row>
    <row r="16" spans="1:20" ht="15" x14ac:dyDescent="0.3">
      <c r="A16" s="60">
        <v>44887</v>
      </c>
      <c r="B16" s="60">
        <v>45519</v>
      </c>
      <c r="C16" s="54">
        <f t="shared" si="0"/>
        <v>89250.44</v>
      </c>
      <c r="D16" s="54">
        <f t="shared" si="6"/>
        <v>89516.92</v>
      </c>
      <c r="E16" s="54">
        <f t="shared" si="4"/>
        <v>89543.250253721824</v>
      </c>
      <c r="F16" s="115">
        <f t="shared" si="5"/>
        <v>-469.47</v>
      </c>
      <c r="G16" s="51">
        <f>NETWORKDAYS(A16,B16-1,Feriados!$A$2:$A$2000)</f>
        <v>435</v>
      </c>
      <c r="H16" s="57">
        <v>6.81</v>
      </c>
      <c r="I16" s="57">
        <v>13.65</v>
      </c>
      <c r="J16" s="53">
        <f t="shared" si="7"/>
        <v>1.0005078000000001</v>
      </c>
      <c r="K16" s="116">
        <v>6413.41</v>
      </c>
      <c r="L16" s="116">
        <v>0.45</v>
      </c>
      <c r="M16" s="113">
        <f t="shared" si="1"/>
        <v>1.0002135999999999</v>
      </c>
      <c r="N16" s="113">
        <f t="shared" si="2"/>
        <v>1.0002941371723002</v>
      </c>
      <c r="P16" s="56">
        <v>6.81</v>
      </c>
      <c r="Q16" s="57">
        <v>13.65</v>
      </c>
      <c r="R16" s="116">
        <v>6413.41</v>
      </c>
      <c r="S16" s="116">
        <v>0.45</v>
      </c>
      <c r="T16" s="123">
        <f t="shared" si="3"/>
        <v>89250.443877607846</v>
      </c>
    </row>
    <row r="17" spans="1:20" ht="15" x14ac:dyDescent="0.3">
      <c r="A17" s="60">
        <v>44888</v>
      </c>
      <c r="B17" s="60">
        <v>45519</v>
      </c>
      <c r="C17" s="54">
        <f t="shared" si="0"/>
        <v>89015.27</v>
      </c>
      <c r="D17" s="54">
        <f t="shared" si="6"/>
        <v>89250.44</v>
      </c>
      <c r="E17" s="54">
        <f t="shared" si="4"/>
        <v>89276.691872048148</v>
      </c>
      <c r="F17" s="115">
        <f t="shared" si="5"/>
        <v>-419.24</v>
      </c>
      <c r="G17" s="51">
        <f>NETWORKDAYS(A17,B17-1,Feriados!$A$2:$A$2000)</f>
        <v>434</v>
      </c>
      <c r="H17" s="57">
        <v>6.99</v>
      </c>
      <c r="I17" s="57">
        <v>13.65</v>
      </c>
      <c r="J17" s="53">
        <f t="shared" si="7"/>
        <v>1.0005078000000001</v>
      </c>
      <c r="K17" s="116">
        <v>6414.78</v>
      </c>
      <c r="L17" s="116">
        <v>0.45</v>
      </c>
      <c r="M17" s="113">
        <f t="shared" si="1"/>
        <v>1.0002135999999999</v>
      </c>
      <c r="N17" s="113">
        <f t="shared" si="2"/>
        <v>1.0002941371723002</v>
      </c>
      <c r="P17" s="56">
        <v>6.99</v>
      </c>
      <c r="Q17" s="57">
        <v>13.65</v>
      </c>
      <c r="R17" s="116">
        <v>6414.78</v>
      </c>
      <c r="S17" s="116">
        <v>0.45</v>
      </c>
      <c r="T17" s="123">
        <f t="shared" si="3"/>
        <v>89015.269366363093</v>
      </c>
    </row>
    <row r="18" spans="1:20" ht="15" x14ac:dyDescent="0.3">
      <c r="A18" s="60">
        <v>44889</v>
      </c>
      <c r="B18" s="60">
        <v>45519</v>
      </c>
      <c r="C18" s="54">
        <f t="shared" si="0"/>
        <v>89139.33</v>
      </c>
      <c r="D18" s="54">
        <f t="shared" si="6"/>
        <v>89015.27</v>
      </c>
      <c r="E18" s="54">
        <f t="shared" si="4"/>
        <v>89041.319166353336</v>
      </c>
      <c r="F18" s="115">
        <f t="shared" si="5"/>
        <v>157.21</v>
      </c>
      <c r="G18" s="51">
        <f>NETWORKDAYS(A18,B18-1,Feriados!$A$2:$A$2000)</f>
        <v>433</v>
      </c>
      <c r="H18" s="57">
        <v>6.92</v>
      </c>
      <c r="I18" s="57">
        <v>13.65</v>
      </c>
      <c r="J18" s="53">
        <f t="shared" si="7"/>
        <v>1.0005078000000001</v>
      </c>
      <c r="K18" s="116">
        <v>6416.16</v>
      </c>
      <c r="L18" s="116">
        <v>0.45</v>
      </c>
      <c r="M18" s="113">
        <f t="shared" si="1"/>
        <v>1.0002150999999999</v>
      </c>
      <c r="N18" s="113">
        <f t="shared" si="2"/>
        <v>1.0002926370537699</v>
      </c>
      <c r="P18" s="56">
        <v>6.92</v>
      </c>
      <c r="Q18" s="57">
        <v>13.65</v>
      </c>
      <c r="R18" s="116">
        <v>6416.16</v>
      </c>
      <c r="S18" s="116">
        <v>0.45</v>
      </c>
      <c r="T18" s="123">
        <f t="shared" si="3"/>
        <v>89139.325533578667</v>
      </c>
    </row>
    <row r="19" spans="1:20" ht="15" x14ac:dyDescent="0.3">
      <c r="A19" s="60">
        <v>44890</v>
      </c>
      <c r="B19" s="60">
        <v>45519</v>
      </c>
      <c r="C19" s="54">
        <f t="shared" si="0"/>
        <v>88820.94</v>
      </c>
      <c r="D19" s="54">
        <f t="shared" si="6"/>
        <v>89139.33</v>
      </c>
      <c r="E19" s="54">
        <f t="shared" si="4"/>
        <v>89135.980188179368</v>
      </c>
      <c r="F19" s="115">
        <f t="shared" si="5"/>
        <v>-505.61</v>
      </c>
      <c r="G19" s="51">
        <f>NETWORKDAYS(A19,B19-1,Feriados!$A$2:$A$2000)</f>
        <v>432</v>
      </c>
      <c r="H19" s="57">
        <v>7.16</v>
      </c>
      <c r="I19" s="57">
        <v>13.65</v>
      </c>
      <c r="J19" s="53">
        <f t="shared" si="7"/>
        <v>1.0005078000000001</v>
      </c>
      <c r="K19" s="116">
        <v>6419.66</v>
      </c>
      <c r="L19" s="116">
        <v>0.55000000000000004</v>
      </c>
      <c r="M19" s="113">
        <f t="shared" si="1"/>
        <v>1.0005454</v>
      </c>
      <c r="N19" s="113">
        <f t="shared" si="2"/>
        <v>0.99996242049586159</v>
      </c>
      <c r="P19" s="56">
        <v>7.16</v>
      </c>
      <c r="Q19" s="57">
        <v>13.65</v>
      </c>
      <c r="R19" s="116">
        <v>6419.66</v>
      </c>
      <c r="S19" s="116">
        <v>0.55000000000000004</v>
      </c>
      <c r="T19" s="123">
        <f t="shared" si="3"/>
        <v>88820.939576035904</v>
      </c>
    </row>
    <row r="20" spans="1:20" ht="15" x14ac:dyDescent="0.3">
      <c r="A20" s="60">
        <v>44893</v>
      </c>
      <c r="B20" s="60">
        <v>45519</v>
      </c>
      <c r="C20" s="54">
        <f t="shared" si="0"/>
        <v>88902.07</v>
      </c>
      <c r="D20" s="54">
        <f t="shared" si="6"/>
        <v>88820.94</v>
      </c>
      <c r="E20" s="54">
        <f t="shared" si="4"/>
        <v>88842.935225879759</v>
      </c>
      <c r="F20" s="115">
        <f t="shared" si="5"/>
        <v>94.93</v>
      </c>
      <c r="G20" s="51">
        <f>NETWORKDAYS(A20,B20-1,Feriados!$A$2:$A$2000)</f>
        <v>431</v>
      </c>
      <c r="H20" s="57">
        <v>7.12</v>
      </c>
      <c r="I20" s="57">
        <v>13.65</v>
      </c>
      <c r="J20" s="53">
        <f t="shared" si="7"/>
        <v>1.0005078000000001</v>
      </c>
      <c r="K20" s="116">
        <v>6421.33</v>
      </c>
      <c r="L20" s="116">
        <v>0.55000000000000004</v>
      </c>
      <c r="M20" s="113">
        <f t="shared" si="1"/>
        <v>1.0002601</v>
      </c>
      <c r="N20" s="113">
        <f t="shared" si="2"/>
        <v>1.0002476355899832</v>
      </c>
      <c r="P20" s="56">
        <v>7.12</v>
      </c>
      <c r="Q20" s="57">
        <v>13.65</v>
      </c>
      <c r="R20" s="116">
        <v>6421.33</v>
      </c>
      <c r="S20" s="116">
        <v>0.55000000000000004</v>
      </c>
      <c r="T20" s="123">
        <f t="shared" si="3"/>
        <v>88902.065826754158</v>
      </c>
    </row>
    <row r="21" spans="1:20" ht="15" x14ac:dyDescent="0.3">
      <c r="A21" s="60">
        <v>44894</v>
      </c>
      <c r="B21" s="60">
        <v>45519</v>
      </c>
      <c r="C21" s="54">
        <f t="shared" si="0"/>
        <v>89210.36</v>
      </c>
      <c r="D21" s="54">
        <f t="shared" si="6"/>
        <v>88902.07</v>
      </c>
      <c r="E21" s="54">
        <f t="shared" si="4"/>
        <v>88923.951965311891</v>
      </c>
      <c r="F21" s="115">
        <f t="shared" si="5"/>
        <v>459.9</v>
      </c>
      <c r="G21" s="51">
        <f>NETWORKDAYS(A21,B21-1,Feriados!$A$2:$A$2000)</f>
        <v>430</v>
      </c>
      <c r="H21" s="57">
        <v>6.92</v>
      </c>
      <c r="I21" s="57">
        <v>13.65</v>
      </c>
      <c r="J21" s="53">
        <f t="shared" si="7"/>
        <v>1.0005078000000001</v>
      </c>
      <c r="K21" s="116">
        <v>6423.01</v>
      </c>
      <c r="L21" s="116">
        <v>0.55000000000000004</v>
      </c>
      <c r="M21" s="113">
        <f t="shared" si="1"/>
        <v>1.0002616</v>
      </c>
      <c r="N21" s="113">
        <f t="shared" si="2"/>
        <v>1.0002461356109242</v>
      </c>
      <c r="P21" s="56">
        <v>6.92</v>
      </c>
      <c r="Q21" s="57">
        <v>13.65</v>
      </c>
      <c r="R21" s="116">
        <v>6423.01</v>
      </c>
      <c r="S21" s="116">
        <v>0.55000000000000004</v>
      </c>
      <c r="T21" s="123">
        <f t="shared" si="3"/>
        <v>89210.358286556962</v>
      </c>
    </row>
    <row r="22" spans="1:20" ht="15" x14ac:dyDescent="0.3">
      <c r="A22" s="60">
        <v>44895</v>
      </c>
      <c r="B22" s="60">
        <v>45519</v>
      </c>
      <c r="C22" s="54">
        <f t="shared" si="0"/>
        <v>89476.1</v>
      </c>
      <c r="D22" s="54">
        <f t="shared" si="6"/>
        <v>89210.36</v>
      </c>
      <c r="E22" s="54">
        <f t="shared" si="4"/>
        <v>89232.326767358347</v>
      </c>
      <c r="F22" s="115">
        <f t="shared" si="5"/>
        <v>391.54</v>
      </c>
      <c r="G22" s="51">
        <f>NETWORKDAYS(A22,B22-1,Feriados!$A$2:$A$2000)</f>
        <v>429</v>
      </c>
      <c r="H22" s="57">
        <v>6.75</v>
      </c>
      <c r="I22" s="57">
        <v>13.65</v>
      </c>
      <c r="J22" s="53">
        <f t="shared" ref="J22" si="8">TRUNC(+(1+I22/100)^(1/252),7)</f>
        <v>1.0005078000000001</v>
      </c>
      <c r="K22" s="116">
        <v>6424.69</v>
      </c>
      <c r="L22" s="116">
        <v>0.55000000000000004</v>
      </c>
      <c r="M22" s="113">
        <f t="shared" si="1"/>
        <v>1.0002614999999999</v>
      </c>
      <c r="N22" s="113">
        <f t="shared" si="2"/>
        <v>1.0002462356093882</v>
      </c>
      <c r="P22" s="56">
        <v>6.75</v>
      </c>
      <c r="Q22" s="57">
        <v>13.65</v>
      </c>
      <c r="R22" s="116">
        <v>6424.69</v>
      </c>
      <c r="S22" s="116">
        <v>0.55000000000000004</v>
      </c>
      <c r="T22" s="123">
        <f t="shared" si="3"/>
        <v>89476.101837055583</v>
      </c>
    </row>
    <row r="23" spans="1:20" ht="23.4" x14ac:dyDescent="0.3">
      <c r="C23" s="69"/>
      <c r="F23" s="66">
        <f>SUM(F4:F22)</f>
        <v>-2211.6200000000003</v>
      </c>
      <c r="H23" s="62">
        <f>+H22-H3</f>
        <v>1</v>
      </c>
      <c r="I23" s="62">
        <f>+I22-I3</f>
        <v>0</v>
      </c>
    </row>
    <row r="24" spans="1:20" x14ac:dyDescent="0.3">
      <c r="C24" s="69"/>
    </row>
    <row r="25" spans="1:20" x14ac:dyDescent="0.3">
      <c r="C25" s="68"/>
      <c r="I25" s="139" t="s">
        <v>352</v>
      </c>
      <c r="J25" s="139" t="s">
        <v>350</v>
      </c>
      <c r="K25" s="139" t="s">
        <v>352</v>
      </c>
      <c r="L25" s="139" t="s">
        <v>350</v>
      </c>
      <c r="M25" s="139" t="s">
        <v>352</v>
      </c>
      <c r="N25" s="139" t="s">
        <v>350</v>
      </c>
    </row>
    <row r="26" spans="1:20" ht="23.4" x14ac:dyDescent="0.3">
      <c r="I26" s="137">
        <f>+((J26)^(252/20)-1)*100</f>
        <v>13.647699317534467</v>
      </c>
      <c r="J26">
        <f>PRODUCT(J3:J22)</f>
        <v>1.0102051431558572</v>
      </c>
      <c r="K26" s="136">
        <f>+((K22/K2)^(252/20)-1)*100</f>
        <v>8.2619235193050589</v>
      </c>
      <c r="L26">
        <f>PRODUCT(M3:M22)</f>
        <v>1.0063191116539987</v>
      </c>
      <c r="M26" s="137">
        <f>+((N26)^(252/20)-1)*100</f>
        <v>4.9761321304194972</v>
      </c>
      <c r="N26">
        <f>PRODUCT(N3:N22)</f>
        <v>1.0038616294342975</v>
      </c>
    </row>
    <row r="27" spans="1:20" x14ac:dyDescent="0.3">
      <c r="B27" s="106"/>
      <c r="C27" s="107"/>
      <c r="D27" s="107"/>
      <c r="E27" s="106"/>
      <c r="F27" s="106"/>
      <c r="J27" s="190">
        <f>(+J26-1)*100</f>
        <v>1.0205143155857188</v>
      </c>
      <c r="L27" s="190">
        <f>(+L26-1)*100</f>
        <v>0.63191116539986769</v>
      </c>
    </row>
    <row r="28" spans="1:20" ht="23.4" x14ac:dyDescent="0.3">
      <c r="B28" s="106"/>
      <c r="C28" s="107"/>
      <c r="D28" s="107"/>
      <c r="F28" s="106"/>
      <c r="G28" s="138" t="s">
        <v>351</v>
      </c>
      <c r="K28" s="136">
        <f>+H3</f>
        <v>5.75</v>
      </c>
      <c r="L28">
        <f>+(1+K28/100)^(20/252)</f>
        <v>1.0044469722104472</v>
      </c>
    </row>
    <row r="29" spans="1:20" x14ac:dyDescent="0.3">
      <c r="F29" s="68"/>
      <c r="L29" s="190">
        <f>(+L28-1)*100</f>
        <v>0.44469722104472087</v>
      </c>
    </row>
    <row r="30" spans="1:20" ht="23.4" x14ac:dyDescent="0.3">
      <c r="K30" s="137">
        <f>+((L30)^(252/20)-1)*100</f>
        <v>14.485492644158748</v>
      </c>
      <c r="L30">
        <f>+L28*L26</f>
        <v>1.0107941847783659</v>
      </c>
    </row>
    <row r="31" spans="1:20" x14ac:dyDescent="0.3">
      <c r="L31" s="190">
        <f>(+L30-1)*100</f>
        <v>1.0794184778365912</v>
      </c>
    </row>
    <row r="32" spans="1:20" ht="17.399999999999999" customHeight="1" x14ac:dyDescent="0.3"/>
  </sheetData>
  <sortState xmlns:xlrd2="http://schemas.microsoft.com/office/spreadsheetml/2017/richdata2" ref="P23:P41">
    <sortCondition descending="1" ref="P23:P41"/>
  </sortState>
  <pageMargins left="0.511811024" right="0.511811024" top="0.78740157499999996" bottom="0.78740157499999996" header="0.31496062000000002" footer="0.31496062000000002"/>
  <pageSetup paperSize="9" orientation="portrait" r:id="rId1"/>
  <headerFooter>
    <oddHeader>&amp;R&amp;"Calibri"&amp;10&amp;K000000#interna&amp;1#</oddHeader>
  </headerFooter>
  <drawing r:id="rId2"/>
  <legacyDrawing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Q32"/>
  <sheetViews>
    <sheetView workbookViewId="0">
      <selection activeCell="C3" sqref="C3"/>
    </sheetView>
  </sheetViews>
  <sheetFormatPr defaultRowHeight="15.6" x14ac:dyDescent="0.3"/>
  <cols>
    <col min="1" max="1" width="15.6640625" bestFit="1" customWidth="1"/>
    <col min="2" max="2" width="20.33203125" bestFit="1" customWidth="1"/>
    <col min="3" max="3" width="19.5546875" customWidth="1"/>
    <col min="4" max="4" width="22.5546875" bestFit="1" customWidth="1"/>
    <col min="5" max="5" width="22" customWidth="1"/>
    <col min="6" max="6" width="20.33203125" customWidth="1"/>
    <col min="7" max="7" width="6.88671875" bestFit="1" customWidth="1"/>
    <col min="8" max="8" width="10.44140625" style="2" bestFit="1" customWidth="1"/>
    <col min="10" max="10" width="11.5546875" bestFit="1" customWidth="1"/>
    <col min="11" max="11" width="13.33203125" bestFit="1" customWidth="1"/>
    <col min="12" max="12" width="13.33203125" customWidth="1"/>
    <col min="13" max="14" width="11.5546875" customWidth="1"/>
    <col min="15" max="15" width="14.33203125" customWidth="1"/>
    <col min="16" max="16" width="14.5546875" customWidth="1"/>
    <col min="17" max="17" width="13" bestFit="1" customWidth="1"/>
    <col min="18" max="18" width="11.5546875" customWidth="1"/>
    <col min="22" max="22" width="13.33203125" bestFit="1" customWidth="1"/>
    <col min="23" max="24" width="13.33203125" customWidth="1"/>
    <col min="25" max="25" width="33.6640625" bestFit="1" customWidth="1"/>
  </cols>
  <sheetData>
    <row r="1" spans="1:17" ht="31.95" customHeight="1" x14ac:dyDescent="0.3">
      <c r="A1" s="61" t="s">
        <v>108</v>
      </c>
      <c r="B1" s="61" t="s">
        <v>109</v>
      </c>
      <c r="C1" s="61" t="s">
        <v>110</v>
      </c>
      <c r="D1" s="61" t="s">
        <v>114</v>
      </c>
      <c r="E1" s="61" t="s">
        <v>115</v>
      </c>
      <c r="F1" s="61" t="s">
        <v>111</v>
      </c>
      <c r="G1" s="50" t="s">
        <v>112</v>
      </c>
      <c r="H1" s="114" t="s">
        <v>113</v>
      </c>
      <c r="I1" s="49" t="s">
        <v>116</v>
      </c>
      <c r="J1" s="49" t="s">
        <v>296</v>
      </c>
      <c r="K1" s="49" t="s">
        <v>178</v>
      </c>
      <c r="L1" s="49" t="s">
        <v>325</v>
      </c>
      <c r="M1" s="49" t="s">
        <v>295</v>
      </c>
      <c r="N1" s="49" t="s">
        <v>117</v>
      </c>
      <c r="O1" s="75" t="s">
        <v>126</v>
      </c>
      <c r="P1" s="72" t="s">
        <v>124</v>
      </c>
      <c r="Q1" s="73" t="s">
        <v>125</v>
      </c>
    </row>
    <row r="2" spans="1:17" ht="15" x14ac:dyDescent="0.3">
      <c r="A2" s="60">
        <v>44865</v>
      </c>
      <c r="B2" s="60"/>
      <c r="C2" s="60"/>
      <c r="D2" s="60"/>
      <c r="E2" s="60"/>
      <c r="F2" s="60"/>
      <c r="G2" s="60"/>
      <c r="H2" s="60"/>
      <c r="I2" s="57">
        <v>13.65</v>
      </c>
      <c r="J2" s="53">
        <f>TRUNC(+(1+I2/100)^(1/252),7)</f>
        <v>1.0005078000000001</v>
      </c>
      <c r="K2" s="116">
        <v>6406.86</v>
      </c>
      <c r="L2" s="116">
        <v>1.1499999999999999</v>
      </c>
      <c r="M2" s="113"/>
      <c r="N2" s="113"/>
      <c r="O2" s="76">
        <f>+C3*0.00025*K3</f>
        <v>145100.47146997499</v>
      </c>
      <c r="P2" s="76">
        <f>+O2</f>
        <v>145100.47146997499</v>
      </c>
      <c r="Q2" s="76">
        <f>+P2</f>
        <v>145100.47146997499</v>
      </c>
    </row>
    <row r="3" spans="1:17" ht="15" x14ac:dyDescent="0.3">
      <c r="A3" s="60">
        <v>44866</v>
      </c>
      <c r="B3" s="60">
        <v>45519</v>
      </c>
      <c r="C3" s="54">
        <f>+ROUND((100000/(1+H3/100)^(G3/252)),2)</f>
        <v>90538.83</v>
      </c>
      <c r="D3" s="58"/>
      <c r="E3" s="58"/>
      <c r="F3" s="59"/>
      <c r="G3" s="51">
        <f>NETWORKDAYS(A3,B3-1,Feriados!$A$2:$A$2000)</f>
        <v>448</v>
      </c>
      <c r="H3" s="57">
        <v>5.75</v>
      </c>
      <c r="I3" s="57">
        <v>13.65</v>
      </c>
      <c r="J3" s="53">
        <f>TRUNC(+(1+I3/100)^(1/252),7)</f>
        <v>1.0005078000000001</v>
      </c>
      <c r="K3" s="116">
        <v>6410.53</v>
      </c>
      <c r="L3" s="116">
        <v>1.1499999999999999</v>
      </c>
      <c r="M3" s="113">
        <f>TRUNC(K3/K2,7)</f>
        <v>1.0005728</v>
      </c>
      <c r="N3" s="113">
        <f>+J3/M3</f>
        <v>0.99993503721068577</v>
      </c>
      <c r="O3" s="70">
        <f t="shared" ref="O3:O4" si="0">+O2*J2</f>
        <v>145174.15348938745</v>
      </c>
      <c r="P3" s="70">
        <f t="shared" ref="P3:P4" si="1">+(P2*J2)-F3</f>
        <v>145174.15348938745</v>
      </c>
      <c r="Q3" s="70">
        <f t="shared" ref="Q3:Q4" si="2">+(Q2*J2)+F3</f>
        <v>145174.15348938745</v>
      </c>
    </row>
    <row r="4" spans="1:17" ht="15" x14ac:dyDescent="0.3">
      <c r="A4" s="60">
        <v>44868</v>
      </c>
      <c r="B4" s="60">
        <v>45519</v>
      </c>
      <c r="C4" s="54">
        <f t="shared" ref="C4:C22" si="3">+ROUND((100000/(1+H4/100)^(G4/252)),2)</f>
        <v>90528.55</v>
      </c>
      <c r="D4" s="54">
        <f>+C3</f>
        <v>90538.83</v>
      </c>
      <c r="E4" s="54">
        <f>D4*N4</f>
        <v>90533.120259517847</v>
      </c>
      <c r="F4" s="115">
        <f t="shared" ref="F4:F21" si="4">TRUNC((C4-E4)*0.00025*K4,2)</f>
        <v>-7.32</v>
      </c>
      <c r="G4" s="51">
        <f>NETWORKDAYS(A4,B4-1,Feriados!$A$2:$A$2000)</f>
        <v>447</v>
      </c>
      <c r="H4" s="57">
        <f>+H3+0.02</f>
        <v>5.77</v>
      </c>
      <c r="I4" s="57">
        <v>13.65</v>
      </c>
      <c r="J4" s="53">
        <f>TRUNC(+(1+I4/100)^(1/252),7)</f>
        <v>1.0005078000000001</v>
      </c>
      <c r="K4" s="116">
        <v>6414.19</v>
      </c>
      <c r="L4" s="116">
        <v>1.1499999999999999</v>
      </c>
      <c r="M4" s="113">
        <f t="shared" ref="M4:M22" si="5">TRUNC(K4/K3,7)</f>
        <v>1.0005709</v>
      </c>
      <c r="N4" s="113">
        <f t="shared" ref="N4:N22" si="6">+J4/M4</f>
        <v>0.99993693600323574</v>
      </c>
      <c r="O4" s="70">
        <f t="shared" si="0"/>
        <v>145247.87292452937</v>
      </c>
      <c r="P4" s="70">
        <f t="shared" si="1"/>
        <v>145255.19292452937</v>
      </c>
      <c r="Q4" s="70">
        <f t="shared" si="2"/>
        <v>145240.55292452936</v>
      </c>
    </row>
    <row r="5" spans="1:17" ht="15" x14ac:dyDescent="0.3">
      <c r="A5" s="60">
        <v>44869</v>
      </c>
      <c r="B5" s="60">
        <v>45519</v>
      </c>
      <c r="C5" s="54">
        <f t="shared" si="3"/>
        <v>90518.41</v>
      </c>
      <c r="D5" s="54">
        <f t="shared" ref="D5:D22" si="7">+C4</f>
        <v>90528.55</v>
      </c>
      <c r="E5" s="54">
        <f t="shared" ref="E5:E21" si="8">D5*N5</f>
        <v>90522.732342516843</v>
      </c>
      <c r="F5" s="115">
        <f t="shared" si="4"/>
        <v>-6.93</v>
      </c>
      <c r="G5" s="51">
        <f>NETWORKDAYS(A5,B5-1,Feriados!$A$2:$A$2000)</f>
        <v>446</v>
      </c>
      <c r="H5" s="57">
        <f t="shared" ref="H5:H22" si="9">+H4+0.02</f>
        <v>5.7899999999999991</v>
      </c>
      <c r="I5" s="57">
        <v>13.65</v>
      </c>
      <c r="J5" s="53">
        <f t="shared" ref="J5:J22" si="10">TRUNC(+(1+I5/100)^(1/252),7)</f>
        <v>1.0005078000000001</v>
      </c>
      <c r="K5" s="116">
        <v>6417.86</v>
      </c>
      <c r="L5" s="116">
        <v>1.1499999999999999</v>
      </c>
      <c r="M5" s="113">
        <f t="shared" si="5"/>
        <v>1.0005721000000001</v>
      </c>
      <c r="N5" s="113">
        <f t="shared" si="6"/>
        <v>0.9999357367649967</v>
      </c>
      <c r="O5" s="70">
        <f t="shared" ref="O5:O22" si="11">+O4*J4</f>
        <v>145321.62979440045</v>
      </c>
      <c r="P5" s="70">
        <f t="shared" ref="P5:P21" si="12">+(P4*J4)-F5</f>
        <v>145335.88351149645</v>
      </c>
      <c r="Q5" s="70">
        <f t="shared" ref="Q5:Q22" si="13">+(Q4*J4)+F5</f>
        <v>145307.37607730445</v>
      </c>
    </row>
    <row r="6" spans="1:17" ht="15" x14ac:dyDescent="0.3">
      <c r="A6" s="60">
        <v>44872</v>
      </c>
      <c r="B6" s="60">
        <v>45519</v>
      </c>
      <c r="C6" s="54">
        <f t="shared" si="3"/>
        <v>90508.41</v>
      </c>
      <c r="D6" s="54">
        <f t="shared" si="7"/>
        <v>90518.41</v>
      </c>
      <c r="E6" s="54">
        <f t="shared" si="8"/>
        <v>90512.620132406315</v>
      </c>
      <c r="F6" s="115">
        <f t="shared" si="4"/>
        <v>-6.75</v>
      </c>
      <c r="G6" s="51">
        <f>NETWORKDAYS(A6,B6-1,Feriados!$A$2:$A$2000)</f>
        <v>445</v>
      </c>
      <c r="H6" s="57">
        <f t="shared" si="9"/>
        <v>5.8099999999999987</v>
      </c>
      <c r="I6" s="57">
        <v>13.65</v>
      </c>
      <c r="J6" s="53">
        <f t="shared" si="10"/>
        <v>1.0005078000000001</v>
      </c>
      <c r="K6" s="116">
        <v>6421.53</v>
      </c>
      <c r="L6" s="116">
        <v>1.1499999999999999</v>
      </c>
      <c r="M6" s="113">
        <f t="shared" si="5"/>
        <v>1.0005717999999999</v>
      </c>
      <c r="N6" s="113">
        <f t="shared" si="6"/>
        <v>0.99993603657428698</v>
      </c>
      <c r="O6" s="70">
        <f t="shared" si="11"/>
        <v>145395.42411801007</v>
      </c>
      <c r="P6" s="70">
        <f t="shared" si="12"/>
        <v>145416.4350731436</v>
      </c>
      <c r="Q6" s="70">
        <f t="shared" si="13"/>
        <v>145374.4131628765</v>
      </c>
    </row>
    <row r="7" spans="1:17" ht="15" x14ac:dyDescent="0.3">
      <c r="A7" s="60">
        <v>44873</v>
      </c>
      <c r="B7" s="60">
        <v>45519</v>
      </c>
      <c r="C7" s="54">
        <f t="shared" si="3"/>
        <v>90498.559999999998</v>
      </c>
      <c r="D7" s="54">
        <f t="shared" si="7"/>
        <v>90508.41</v>
      </c>
      <c r="E7" s="54">
        <f t="shared" si="8"/>
        <v>90502.512231089597</v>
      </c>
      <c r="F7" s="115">
        <f t="shared" si="4"/>
        <v>-6.34</v>
      </c>
      <c r="G7" s="51">
        <f>NETWORKDAYS(A7,B7-1,Feriados!$A$2:$A$2000)</f>
        <v>444</v>
      </c>
      <c r="H7" s="57">
        <f t="shared" si="9"/>
        <v>5.8299999999999983</v>
      </c>
      <c r="I7" s="57">
        <v>13.65</v>
      </c>
      <c r="J7" s="53">
        <f t="shared" si="10"/>
        <v>1.0005078000000001</v>
      </c>
      <c r="K7" s="116">
        <v>6425.21</v>
      </c>
      <c r="L7" s="116">
        <v>1.1499999999999999</v>
      </c>
      <c r="M7" s="113">
        <f t="shared" si="5"/>
        <v>1.0005729999999999</v>
      </c>
      <c r="N7" s="113">
        <f t="shared" si="6"/>
        <v>0.99993483733820532</v>
      </c>
      <c r="O7" s="70">
        <f t="shared" si="11"/>
        <v>145469.25591437719</v>
      </c>
      <c r="P7" s="70">
        <f t="shared" si="12"/>
        <v>145496.61753887375</v>
      </c>
      <c r="Q7" s="70">
        <f t="shared" si="13"/>
        <v>145441.89428988061</v>
      </c>
    </row>
    <row r="8" spans="1:17" ht="15" x14ac:dyDescent="0.3">
      <c r="A8" s="60">
        <v>44874</v>
      </c>
      <c r="B8" s="60">
        <v>45519</v>
      </c>
      <c r="C8" s="54">
        <f t="shared" si="3"/>
        <v>90488.84</v>
      </c>
      <c r="D8" s="54">
        <f t="shared" si="7"/>
        <v>90498.559999999998</v>
      </c>
      <c r="E8" s="54">
        <f t="shared" si="8"/>
        <v>90492.834710864627</v>
      </c>
      <c r="F8" s="115">
        <f t="shared" si="4"/>
        <v>-6.42</v>
      </c>
      <c r="G8" s="51">
        <f>NETWORKDAYS(A8,B8-1,Feriados!$A$2:$A$2000)</f>
        <v>443</v>
      </c>
      <c r="H8" s="57">
        <f t="shared" si="9"/>
        <v>5.8499999999999979</v>
      </c>
      <c r="I8" s="57">
        <v>13.65</v>
      </c>
      <c r="J8" s="53">
        <f t="shared" si="10"/>
        <v>1.0005078000000001</v>
      </c>
      <c r="K8" s="116">
        <v>6428.88</v>
      </c>
      <c r="L8" s="116">
        <v>1.1499999999999999</v>
      </c>
      <c r="M8" s="113">
        <f t="shared" si="5"/>
        <v>1.0005710999999999</v>
      </c>
      <c r="N8" s="113">
        <f t="shared" si="6"/>
        <v>0.99993673612999623</v>
      </c>
      <c r="O8" s="70">
        <f t="shared" si="11"/>
        <v>145543.12520253053</v>
      </c>
      <c r="P8" s="70">
        <f t="shared" si="12"/>
        <v>145576.92072126002</v>
      </c>
      <c r="Q8" s="70">
        <f t="shared" si="13"/>
        <v>145509.32968380101</v>
      </c>
    </row>
    <row r="9" spans="1:17" ht="15" x14ac:dyDescent="0.3">
      <c r="A9" s="60">
        <v>44875</v>
      </c>
      <c r="B9" s="60">
        <v>45519</v>
      </c>
      <c r="C9" s="54">
        <f t="shared" si="3"/>
        <v>90479.27</v>
      </c>
      <c r="D9" s="54">
        <f t="shared" si="7"/>
        <v>90488.84</v>
      </c>
      <c r="E9" s="54">
        <f t="shared" si="8"/>
        <v>90482.997765031294</v>
      </c>
      <c r="F9" s="115">
        <f t="shared" si="4"/>
        <v>-5.99</v>
      </c>
      <c r="G9" s="51">
        <f>NETWORKDAYS(A9,B9-1,Feriados!$A$2:$A$2000)</f>
        <v>442</v>
      </c>
      <c r="H9" s="57">
        <f t="shared" si="9"/>
        <v>5.8699999999999974</v>
      </c>
      <c r="I9" s="57">
        <v>13.65</v>
      </c>
      <c r="J9" s="53">
        <f t="shared" si="10"/>
        <v>1.0005078000000001</v>
      </c>
      <c r="K9" s="116">
        <v>6432.56</v>
      </c>
      <c r="L9" s="116">
        <v>1.1499999999999999</v>
      </c>
      <c r="M9" s="113">
        <f t="shared" si="5"/>
        <v>1.0005724</v>
      </c>
      <c r="N9" s="113">
        <f t="shared" si="6"/>
        <v>0.99993543695588649</v>
      </c>
      <c r="O9" s="70">
        <f t="shared" si="11"/>
        <v>145617.03200150837</v>
      </c>
      <c r="P9" s="70">
        <f t="shared" si="12"/>
        <v>145656.83468160228</v>
      </c>
      <c r="Q9" s="70">
        <f t="shared" si="13"/>
        <v>145577.22932141446</v>
      </c>
    </row>
    <row r="10" spans="1:17" ht="15" x14ac:dyDescent="0.3">
      <c r="A10" s="60">
        <v>44876</v>
      </c>
      <c r="B10" s="60">
        <v>45519</v>
      </c>
      <c r="C10" s="54">
        <f t="shared" si="3"/>
        <v>90469.84</v>
      </c>
      <c r="D10" s="54">
        <f t="shared" si="7"/>
        <v>90479.27</v>
      </c>
      <c r="E10" s="54">
        <f t="shared" si="8"/>
        <v>90473.46455158251</v>
      </c>
      <c r="F10" s="115">
        <f t="shared" si="4"/>
        <v>-5.83</v>
      </c>
      <c r="G10" s="51">
        <f>NETWORKDAYS(A10,B10-1,Feriados!$A$2:$A$2000)</f>
        <v>441</v>
      </c>
      <c r="H10" s="57">
        <f t="shared" si="9"/>
        <v>5.889999999999997</v>
      </c>
      <c r="I10" s="57">
        <v>13.65</v>
      </c>
      <c r="J10" s="53">
        <f t="shared" si="10"/>
        <v>1.0005078000000001</v>
      </c>
      <c r="K10" s="116">
        <v>6436.24</v>
      </c>
      <c r="L10" s="116">
        <v>1.1499999999999999</v>
      </c>
      <c r="M10" s="113">
        <f t="shared" si="5"/>
        <v>1.000572</v>
      </c>
      <c r="N10" s="113">
        <f t="shared" si="6"/>
        <v>0.99993583670140684</v>
      </c>
      <c r="O10" s="70">
        <f t="shared" si="11"/>
        <v>145690.97633035874</v>
      </c>
      <c r="P10" s="70">
        <f t="shared" si="12"/>
        <v>145736.6292222536</v>
      </c>
      <c r="Q10" s="70">
        <f t="shared" si="13"/>
        <v>145645.32343846391</v>
      </c>
    </row>
    <row r="11" spans="1:17" ht="15" x14ac:dyDescent="0.3">
      <c r="A11" s="60">
        <v>44879</v>
      </c>
      <c r="B11" s="60">
        <v>45519</v>
      </c>
      <c r="C11" s="54">
        <f t="shared" si="3"/>
        <v>90460.56</v>
      </c>
      <c r="D11" s="54">
        <f t="shared" si="7"/>
        <v>90469.84</v>
      </c>
      <c r="E11" s="54">
        <f t="shared" si="8"/>
        <v>90464.062280346319</v>
      </c>
      <c r="F11" s="115">
        <f t="shared" si="4"/>
        <v>-5.63</v>
      </c>
      <c r="G11" s="51">
        <f>NETWORKDAYS(A11,B11-1,Feriados!$A$2:$A$2000)</f>
        <v>440</v>
      </c>
      <c r="H11" s="57">
        <f t="shared" si="9"/>
        <v>5.9099999999999966</v>
      </c>
      <c r="I11" s="57">
        <v>13.65</v>
      </c>
      <c r="J11" s="53">
        <f t="shared" si="10"/>
        <v>1.0005078000000001</v>
      </c>
      <c r="K11" s="116">
        <v>6439.92</v>
      </c>
      <c r="L11" s="116">
        <v>1.1499999999999999</v>
      </c>
      <c r="M11" s="113">
        <f t="shared" si="5"/>
        <v>1.0005717000000001</v>
      </c>
      <c r="N11" s="113">
        <f t="shared" si="6"/>
        <v>0.99993613651075675</v>
      </c>
      <c r="O11" s="70">
        <f t="shared" si="11"/>
        <v>145764.95820813932</v>
      </c>
      <c r="P11" s="70">
        <f t="shared" si="12"/>
        <v>145816.26428257267</v>
      </c>
      <c r="Q11" s="70">
        <f t="shared" si="13"/>
        <v>145713.65213370597</v>
      </c>
    </row>
    <row r="12" spans="1:17" ht="15" x14ac:dyDescent="0.3">
      <c r="A12" s="60">
        <v>44881</v>
      </c>
      <c r="B12" s="60">
        <v>45519</v>
      </c>
      <c r="C12" s="54">
        <f t="shared" si="3"/>
        <v>90451.41</v>
      </c>
      <c r="D12" s="54">
        <f t="shared" si="7"/>
        <v>90460.56</v>
      </c>
      <c r="E12" s="54">
        <f t="shared" si="8"/>
        <v>90454.809993937452</v>
      </c>
      <c r="F12" s="115">
        <f t="shared" si="4"/>
        <v>-5.47</v>
      </c>
      <c r="G12" s="51">
        <f>NETWORKDAYS(A12,B12-1,Feriados!$A$2:$A$2000)</f>
        <v>439</v>
      </c>
      <c r="H12" s="57">
        <f t="shared" si="9"/>
        <v>5.9299999999999962</v>
      </c>
      <c r="I12" s="57">
        <v>13.65</v>
      </c>
      <c r="J12" s="53">
        <f t="shared" si="10"/>
        <v>1.0005078000000001</v>
      </c>
      <c r="K12" s="116">
        <v>6443.6</v>
      </c>
      <c r="L12" s="116">
        <v>1.1499999999999999</v>
      </c>
      <c r="M12" s="113">
        <f t="shared" si="5"/>
        <v>1.0005714000000001</v>
      </c>
      <c r="N12" s="113">
        <f t="shared" si="6"/>
        <v>0.9999364363202865</v>
      </c>
      <c r="O12" s="70">
        <f t="shared" si="11"/>
        <v>145838.97765391742</v>
      </c>
      <c r="P12" s="70">
        <f t="shared" si="12"/>
        <v>145895.77978157537</v>
      </c>
      <c r="Q12" s="70">
        <f t="shared" si="13"/>
        <v>145782.17552625947</v>
      </c>
    </row>
    <row r="13" spans="1:17" ht="15" x14ac:dyDescent="0.3">
      <c r="A13" s="60">
        <v>44882</v>
      </c>
      <c r="B13" s="60">
        <v>45519</v>
      </c>
      <c r="C13" s="54">
        <f t="shared" si="3"/>
        <v>90442.41</v>
      </c>
      <c r="D13" s="54">
        <f t="shared" si="7"/>
        <v>90451.41</v>
      </c>
      <c r="E13" s="54">
        <f t="shared" si="8"/>
        <v>90448.074160003045</v>
      </c>
      <c r="F13" s="115">
        <f t="shared" si="4"/>
        <v>-9.1199999999999992</v>
      </c>
      <c r="G13" s="51">
        <f>NETWORKDAYS(A13,B13-1,Feriados!$A$2:$A$2000)</f>
        <v>438</v>
      </c>
      <c r="H13" s="57">
        <f t="shared" si="9"/>
        <v>5.9499999999999957</v>
      </c>
      <c r="I13" s="57">
        <v>13.65</v>
      </c>
      <c r="J13" s="53">
        <f t="shared" si="10"/>
        <v>1.0005078000000001</v>
      </c>
      <c r="K13" s="116">
        <v>6447.11</v>
      </c>
      <c r="L13" s="116">
        <v>1.1499999999999999</v>
      </c>
      <c r="M13" s="113">
        <f t="shared" si="5"/>
        <v>1.0005447000000001</v>
      </c>
      <c r="N13" s="113">
        <f t="shared" si="6"/>
        <v>0.99996312008848776</v>
      </c>
      <c r="O13" s="70">
        <f t="shared" si="11"/>
        <v>145913.03468677009</v>
      </c>
      <c r="P13" s="70">
        <f t="shared" si="12"/>
        <v>145978.98565854845</v>
      </c>
      <c r="Q13" s="70">
        <f t="shared" si="13"/>
        <v>145847.08371499172</v>
      </c>
    </row>
    <row r="14" spans="1:17" ht="15" x14ac:dyDescent="0.3">
      <c r="A14" s="60">
        <v>44883</v>
      </c>
      <c r="B14" s="60">
        <v>45519</v>
      </c>
      <c r="C14" s="54">
        <f t="shared" si="3"/>
        <v>90433.55</v>
      </c>
      <c r="D14" s="54">
        <f t="shared" si="7"/>
        <v>90442.41</v>
      </c>
      <c r="E14" s="54">
        <f t="shared" si="8"/>
        <v>90439.101608882149</v>
      </c>
      <c r="F14" s="115">
        <f t="shared" si="4"/>
        <v>-8.9499999999999993</v>
      </c>
      <c r="G14" s="51">
        <f>NETWORKDAYS(A14,B14-1,Feriados!$A$2:$A$2000)</f>
        <v>437</v>
      </c>
      <c r="H14" s="57">
        <f t="shared" si="9"/>
        <v>5.9699999999999953</v>
      </c>
      <c r="I14" s="57">
        <v>13.65</v>
      </c>
      <c r="J14" s="53">
        <f t="shared" si="10"/>
        <v>1.0005078000000001</v>
      </c>
      <c r="K14" s="116">
        <v>6450.62</v>
      </c>
      <c r="L14" s="116">
        <v>1.1499999999999999</v>
      </c>
      <c r="M14" s="113">
        <f t="shared" si="5"/>
        <v>1.0005443999999999</v>
      </c>
      <c r="N14" s="113">
        <f t="shared" si="6"/>
        <v>0.9999634199141989</v>
      </c>
      <c r="O14" s="70">
        <f t="shared" si="11"/>
        <v>145987.12932578404</v>
      </c>
      <c r="P14" s="70">
        <f t="shared" si="12"/>
        <v>146062.06378746589</v>
      </c>
      <c r="Q14" s="70">
        <f t="shared" si="13"/>
        <v>145912.1948641022</v>
      </c>
    </row>
    <row r="15" spans="1:17" ht="15" x14ac:dyDescent="0.3">
      <c r="A15" s="60">
        <v>44886</v>
      </c>
      <c r="B15" s="60">
        <v>45519</v>
      </c>
      <c r="C15" s="54">
        <f t="shared" si="3"/>
        <v>90424.84</v>
      </c>
      <c r="D15" s="54">
        <f t="shared" si="7"/>
        <v>90433.55</v>
      </c>
      <c r="E15" s="54">
        <f t="shared" si="8"/>
        <v>90430.269047301379</v>
      </c>
      <c r="F15" s="115">
        <f t="shared" si="4"/>
        <v>-8.75</v>
      </c>
      <c r="G15" s="51">
        <f>NETWORKDAYS(A15,B15-1,Feriados!$A$2:$A$2000)</f>
        <v>436</v>
      </c>
      <c r="H15" s="57">
        <f t="shared" si="9"/>
        <v>5.9899999999999949</v>
      </c>
      <c r="I15" s="57">
        <v>13.65</v>
      </c>
      <c r="J15" s="53">
        <f t="shared" si="10"/>
        <v>1.0005078000000001</v>
      </c>
      <c r="K15" s="116">
        <v>6454.13</v>
      </c>
      <c r="L15" s="116">
        <v>1.1499999999999999</v>
      </c>
      <c r="M15" s="113">
        <f t="shared" si="5"/>
        <v>1.0005440999999999</v>
      </c>
      <c r="N15" s="113">
        <f t="shared" si="6"/>
        <v>0.99996371974008957</v>
      </c>
      <c r="O15" s="70">
        <f t="shared" si="11"/>
        <v>146061.26159005568</v>
      </c>
      <c r="P15" s="70">
        <f t="shared" si="12"/>
        <v>146144.98410345716</v>
      </c>
      <c r="Q15" s="70">
        <f t="shared" si="13"/>
        <v>145977.53907665421</v>
      </c>
    </row>
    <row r="16" spans="1:17" ht="15" x14ac:dyDescent="0.3">
      <c r="A16" s="60">
        <v>44887</v>
      </c>
      <c r="B16" s="60">
        <v>45519</v>
      </c>
      <c r="C16" s="54">
        <f t="shared" si="3"/>
        <v>90416.26</v>
      </c>
      <c r="D16" s="54">
        <f t="shared" si="7"/>
        <v>90424.84</v>
      </c>
      <c r="E16" s="54">
        <f t="shared" si="8"/>
        <v>90421.450916567206</v>
      </c>
      <c r="F16" s="115">
        <f t="shared" si="4"/>
        <v>-8.3800000000000008</v>
      </c>
      <c r="G16" s="51">
        <f>NETWORKDAYS(A16,B16-1,Feriados!$A$2:$A$2000)</f>
        <v>435</v>
      </c>
      <c r="H16" s="57">
        <f t="shared" si="9"/>
        <v>6.0099999999999945</v>
      </c>
      <c r="I16" s="57">
        <v>13.65</v>
      </c>
      <c r="J16" s="53">
        <f t="shared" si="10"/>
        <v>1.0005078000000001</v>
      </c>
      <c r="K16" s="116">
        <v>6457.65</v>
      </c>
      <c r="L16" s="116">
        <v>1.1499999999999999</v>
      </c>
      <c r="M16" s="113">
        <f t="shared" si="5"/>
        <v>1.0005453</v>
      </c>
      <c r="N16" s="113">
        <f t="shared" si="6"/>
        <v>0.99996252043760547</v>
      </c>
      <c r="O16" s="70">
        <f t="shared" si="11"/>
        <v>146135.43149869112</v>
      </c>
      <c r="P16" s="70">
        <f t="shared" si="12"/>
        <v>146227.57652638492</v>
      </c>
      <c r="Q16" s="70">
        <f t="shared" si="13"/>
        <v>146043.28647099735</v>
      </c>
    </row>
    <row r="17" spans="1:17" ht="15" x14ac:dyDescent="0.3">
      <c r="A17" s="60">
        <v>44888</v>
      </c>
      <c r="B17" s="60">
        <v>45519</v>
      </c>
      <c r="C17" s="54">
        <f t="shared" si="3"/>
        <v>90407.83</v>
      </c>
      <c r="D17" s="54">
        <f t="shared" si="7"/>
        <v>90416.26</v>
      </c>
      <c r="E17" s="54">
        <f t="shared" si="8"/>
        <v>90412.898347228751</v>
      </c>
      <c r="F17" s="115">
        <f t="shared" si="4"/>
        <v>-8.18</v>
      </c>
      <c r="G17" s="51">
        <f>NETWORKDAYS(A17,B17-1,Feriados!$A$2:$A$2000)</f>
        <v>434</v>
      </c>
      <c r="H17" s="57">
        <f t="shared" si="9"/>
        <v>6.029999999999994</v>
      </c>
      <c r="I17" s="57">
        <v>13.65</v>
      </c>
      <c r="J17" s="53">
        <f t="shared" si="10"/>
        <v>1.0005078000000001</v>
      </c>
      <c r="K17" s="116">
        <v>6461.17</v>
      </c>
      <c r="L17" s="116">
        <v>1.1499999999999999</v>
      </c>
      <c r="M17" s="113">
        <f t="shared" si="5"/>
        <v>1.000545</v>
      </c>
      <c r="N17" s="113">
        <f t="shared" si="6"/>
        <v>0.99996282026295669</v>
      </c>
      <c r="O17" s="70">
        <f t="shared" si="11"/>
        <v>146209.63907080615</v>
      </c>
      <c r="P17" s="70">
        <f t="shared" si="12"/>
        <v>146310.01088974503</v>
      </c>
      <c r="Q17" s="70">
        <f t="shared" si="13"/>
        <v>146109.26725186734</v>
      </c>
    </row>
    <row r="18" spans="1:17" ht="15" x14ac:dyDescent="0.3">
      <c r="A18" s="60">
        <v>44889</v>
      </c>
      <c r="B18" s="60">
        <v>45519</v>
      </c>
      <c r="C18" s="54">
        <f t="shared" si="3"/>
        <v>90399.53</v>
      </c>
      <c r="D18" s="54">
        <f t="shared" si="7"/>
        <v>90407.83</v>
      </c>
      <c r="E18" s="54">
        <f t="shared" si="8"/>
        <v>90404.495767229586</v>
      </c>
      <c r="F18" s="115">
        <f t="shared" si="4"/>
        <v>-8.02</v>
      </c>
      <c r="G18" s="51">
        <f>NETWORKDAYS(A18,B18-1,Feriados!$A$2:$A$2000)</f>
        <v>433</v>
      </c>
      <c r="H18" s="57">
        <f t="shared" si="9"/>
        <v>6.0499999999999936</v>
      </c>
      <c r="I18" s="57">
        <v>13.65</v>
      </c>
      <c r="J18" s="53">
        <f t="shared" si="10"/>
        <v>1.0005078000000001</v>
      </c>
      <c r="K18" s="116">
        <v>6464.69</v>
      </c>
      <c r="L18" s="116">
        <v>1.1499999999999999</v>
      </c>
      <c r="M18" s="113">
        <f t="shared" si="5"/>
        <v>1.0005447000000001</v>
      </c>
      <c r="N18" s="113">
        <f t="shared" si="6"/>
        <v>0.99996312008848776</v>
      </c>
      <c r="O18" s="70">
        <f t="shared" si="11"/>
        <v>146283.88432552631</v>
      </c>
      <c r="P18" s="70">
        <f t="shared" si="12"/>
        <v>146392.32711327483</v>
      </c>
      <c r="Q18" s="70">
        <f t="shared" si="13"/>
        <v>146175.44153777786</v>
      </c>
    </row>
    <row r="19" spans="1:17" ht="15" x14ac:dyDescent="0.3">
      <c r="A19" s="60">
        <v>44890</v>
      </c>
      <c r="B19" s="60">
        <v>45519</v>
      </c>
      <c r="C19" s="54">
        <f t="shared" si="3"/>
        <v>90391.38</v>
      </c>
      <c r="D19" s="54">
        <f t="shared" si="7"/>
        <v>90399.53</v>
      </c>
      <c r="E19" s="54">
        <f t="shared" si="8"/>
        <v>90396.223177436215</v>
      </c>
      <c r="F19" s="115">
        <f t="shared" si="4"/>
        <v>-7.83</v>
      </c>
      <c r="G19" s="51">
        <f>NETWORKDAYS(A19,B19-1,Feriados!$A$2:$A$2000)</f>
        <v>432</v>
      </c>
      <c r="H19" s="57">
        <f t="shared" si="9"/>
        <v>6.0699999999999932</v>
      </c>
      <c r="I19" s="57">
        <v>13.65</v>
      </c>
      <c r="J19" s="53">
        <f t="shared" si="10"/>
        <v>1.0005078000000001</v>
      </c>
      <c r="K19" s="116">
        <v>6468.21</v>
      </c>
      <c r="L19" s="116">
        <v>1.1499999999999999</v>
      </c>
      <c r="M19" s="113">
        <f t="shared" si="5"/>
        <v>1.0005443999999999</v>
      </c>
      <c r="N19" s="113">
        <f t="shared" si="6"/>
        <v>0.9999634199141989</v>
      </c>
      <c r="O19" s="70">
        <f t="shared" si="11"/>
        <v>146358.16728198683</v>
      </c>
      <c r="P19" s="70">
        <f t="shared" si="12"/>
        <v>146474.49513698297</v>
      </c>
      <c r="Q19" s="70">
        <f t="shared" si="13"/>
        <v>146241.83942699077</v>
      </c>
    </row>
    <row r="20" spans="1:17" ht="15" x14ac:dyDescent="0.3">
      <c r="A20" s="60">
        <v>44893</v>
      </c>
      <c r="B20" s="60">
        <v>45519</v>
      </c>
      <c r="C20" s="54">
        <f t="shared" si="3"/>
        <v>90383.37</v>
      </c>
      <c r="D20" s="54">
        <f t="shared" si="7"/>
        <v>90391.38</v>
      </c>
      <c r="E20" s="54">
        <f t="shared" si="8"/>
        <v>90388.09154334612</v>
      </c>
      <c r="F20" s="115">
        <f t="shared" si="4"/>
        <v>-7.63</v>
      </c>
      <c r="G20" s="51">
        <f>NETWORKDAYS(A20,B20-1,Feriados!$A$2:$A$2000)</f>
        <v>431</v>
      </c>
      <c r="H20" s="57">
        <f t="shared" si="9"/>
        <v>6.0899999999999928</v>
      </c>
      <c r="I20" s="57">
        <v>13.65</v>
      </c>
      <c r="J20" s="53">
        <f t="shared" si="10"/>
        <v>1.0005078000000001</v>
      </c>
      <c r="K20" s="116">
        <v>6471.73</v>
      </c>
      <c r="L20" s="116">
        <v>1.1499999999999999</v>
      </c>
      <c r="M20" s="113">
        <f t="shared" si="5"/>
        <v>1.0005442</v>
      </c>
      <c r="N20" s="113">
        <f t="shared" si="6"/>
        <v>0.99996361979810588</v>
      </c>
      <c r="O20" s="70">
        <f t="shared" si="11"/>
        <v>146432.48795933262</v>
      </c>
      <c r="P20" s="70">
        <f t="shared" si="12"/>
        <v>146556.50488561354</v>
      </c>
      <c r="Q20" s="70">
        <f t="shared" si="13"/>
        <v>146308.47103305181</v>
      </c>
    </row>
    <row r="21" spans="1:17" ht="15" x14ac:dyDescent="0.3">
      <c r="A21" s="60">
        <v>44894</v>
      </c>
      <c r="B21" s="60">
        <v>45519</v>
      </c>
      <c r="C21" s="54">
        <f t="shared" si="3"/>
        <v>90375.5</v>
      </c>
      <c r="D21" s="54">
        <f t="shared" si="7"/>
        <v>90383.37</v>
      </c>
      <c r="E21" s="54">
        <f t="shared" si="8"/>
        <v>90380.108934036776</v>
      </c>
      <c r="F21" s="115">
        <f t="shared" si="4"/>
        <v>-7.46</v>
      </c>
      <c r="G21" s="51">
        <f>NETWORKDAYS(A21,B21-1,Feriados!$A$2:$A$2000)</f>
        <v>430</v>
      </c>
      <c r="H21" s="57">
        <f t="shared" si="9"/>
        <v>6.1099999999999923</v>
      </c>
      <c r="I21" s="57">
        <v>13.65</v>
      </c>
      <c r="J21" s="53">
        <f t="shared" si="10"/>
        <v>1.0005078000000001</v>
      </c>
      <c r="K21" s="116">
        <v>6475.25</v>
      </c>
      <c r="L21" s="116">
        <v>1.1499999999999999</v>
      </c>
      <c r="M21" s="113">
        <f t="shared" si="5"/>
        <v>1.0005439</v>
      </c>
      <c r="N21" s="113">
        <f t="shared" si="6"/>
        <v>0.99996391962411646</v>
      </c>
      <c r="O21" s="70">
        <f t="shared" si="11"/>
        <v>146506.84637671837</v>
      </c>
      <c r="P21" s="70">
        <f t="shared" si="12"/>
        <v>146638.38627879447</v>
      </c>
      <c r="Q21" s="70">
        <f t="shared" si="13"/>
        <v>146375.30647464242</v>
      </c>
    </row>
    <row r="22" spans="1:17" ht="15" x14ac:dyDescent="0.3">
      <c r="A22" s="60">
        <v>44895</v>
      </c>
      <c r="B22" s="60">
        <v>45519</v>
      </c>
      <c r="C22" s="54">
        <f t="shared" si="3"/>
        <v>90367.78</v>
      </c>
      <c r="D22" s="54">
        <f t="shared" si="7"/>
        <v>90375.5</v>
      </c>
      <c r="E22" s="54">
        <f>D22*N22</f>
        <v>90372.130830384354</v>
      </c>
      <c r="F22" s="115">
        <f>TRUNC((C22-E22)*0.00025*K22,2)</f>
        <v>-7.04</v>
      </c>
      <c r="G22" s="51">
        <f>NETWORKDAYS(A22,B22-1,Feriados!$A$2:$A$2000)</f>
        <v>429</v>
      </c>
      <c r="H22" s="57">
        <f t="shared" si="9"/>
        <v>6.1299999999999919</v>
      </c>
      <c r="I22" s="57">
        <v>13.65</v>
      </c>
      <c r="J22" s="53">
        <f t="shared" si="10"/>
        <v>1.0005078000000001</v>
      </c>
      <c r="K22" s="116">
        <v>6478.78</v>
      </c>
      <c r="L22" s="116">
        <v>1.1499999999999999</v>
      </c>
      <c r="M22" s="113">
        <f t="shared" si="5"/>
        <v>1.0005451000000001</v>
      </c>
      <c r="N22" s="113">
        <f t="shared" si="6"/>
        <v>0.99996272032115296</v>
      </c>
      <c r="O22" s="70">
        <f t="shared" si="11"/>
        <v>146581.24255330849</v>
      </c>
      <c r="P22" s="70">
        <f>+(P21*J21)-F22</f>
        <v>146719.88925134685</v>
      </c>
      <c r="Q22" s="70">
        <f t="shared" si="13"/>
        <v>146442.59585527025</v>
      </c>
    </row>
    <row r="23" spans="1:17" ht="23.4" x14ac:dyDescent="0.3">
      <c r="C23" s="69"/>
      <c r="F23" s="66">
        <f>SUM(F4:F22)</f>
        <v>-138.04</v>
      </c>
      <c r="H23" s="62">
        <f>+H22-H3</f>
        <v>0.3799999999999919</v>
      </c>
      <c r="I23" s="62">
        <f>+I22-I3</f>
        <v>0</v>
      </c>
      <c r="O23" s="77">
        <f>+O22-O2</f>
        <v>1480.7710833335004</v>
      </c>
      <c r="P23" s="77">
        <f>+P22-P2</f>
        <v>1619.4177813718561</v>
      </c>
      <c r="Q23" s="77">
        <f>+Q22-Q2</f>
        <v>1342.1243852952612</v>
      </c>
    </row>
    <row r="24" spans="1:17" x14ac:dyDescent="0.3">
      <c r="C24" s="69"/>
      <c r="O24" s="71">
        <f>+O22/O2-1</f>
        <v>1.020514315585741E-2</v>
      </c>
      <c r="P24" s="71">
        <f>+P22/P2-1</f>
        <v>1.1160665192648578E-2</v>
      </c>
      <c r="Q24" s="71">
        <f>+Q22/Q2-1</f>
        <v>9.2496211190669086E-3</v>
      </c>
    </row>
    <row r="25" spans="1:17" x14ac:dyDescent="0.3">
      <c r="C25" s="68"/>
      <c r="G25" s="2"/>
      <c r="H25" s="139" t="s">
        <v>352</v>
      </c>
      <c r="I25" s="139" t="s">
        <v>350</v>
      </c>
      <c r="J25" s="139" t="s">
        <v>352</v>
      </c>
      <c r="K25" s="139" t="s">
        <v>350</v>
      </c>
      <c r="L25" s="139" t="s">
        <v>352</v>
      </c>
      <c r="M25" s="139" t="s">
        <v>350</v>
      </c>
    </row>
    <row r="26" spans="1:17" ht="23.4" x14ac:dyDescent="0.3">
      <c r="G26" s="2"/>
      <c r="H26" s="137">
        <f>+((I26)^(252/20)-1)*100</f>
        <v>13.647699317534467</v>
      </c>
      <c r="I26">
        <f>PRODUCT(J3:J22)</f>
        <v>1.0102051431558572</v>
      </c>
      <c r="J26" s="136">
        <f>+((K22/K2)^(252/20)-1)*100</f>
        <v>15.102507444388834</v>
      </c>
      <c r="K26">
        <f>PRODUCT(M3:M22)</f>
        <v>1.0112244090938101</v>
      </c>
      <c r="L26" s="137">
        <f>+((M26)^(252/20)-1)*100</f>
        <v>-1.2626215455227907</v>
      </c>
      <c r="M26">
        <f>PRODUCT(N3:N22)</f>
        <v>0.99899204773066486</v>
      </c>
      <c r="O26" s="74">
        <f>+P24-O24</f>
        <v>9.5552203679116765E-4</v>
      </c>
      <c r="P26" s="78" t="s">
        <v>127</v>
      </c>
      <c r="Q26" s="74">
        <f>+Q24-O24</f>
        <v>-9.5552203679050152E-4</v>
      </c>
    </row>
    <row r="27" spans="1:17" x14ac:dyDescent="0.3">
      <c r="B27" s="106"/>
      <c r="C27" s="107"/>
      <c r="D27" s="107"/>
      <c r="E27" s="106"/>
      <c r="G27" s="2"/>
      <c r="H27"/>
      <c r="I27" s="190">
        <f>(+I26-1)*100</f>
        <v>1.0205143155857188</v>
      </c>
      <c r="K27" s="190">
        <f>(+K26-1)*100</f>
        <v>1.1224409093810062</v>
      </c>
      <c r="M27" s="190">
        <f>(+M26-1)*100</f>
        <v>-0.10079522693351439</v>
      </c>
    </row>
    <row r="28" spans="1:17" x14ac:dyDescent="0.3">
      <c r="B28" s="106"/>
      <c r="C28" s="107"/>
      <c r="D28" s="107"/>
      <c r="E28" s="106"/>
      <c r="O28" s="139" t="s">
        <v>352</v>
      </c>
      <c r="P28" s="139" t="s">
        <v>352</v>
      </c>
      <c r="Q28" s="139" t="s">
        <v>352</v>
      </c>
    </row>
    <row r="29" spans="1:17" ht="23.4" x14ac:dyDescent="0.3">
      <c r="F29" s="138" t="s">
        <v>351</v>
      </c>
      <c r="G29" s="2"/>
      <c r="H29"/>
      <c r="J29" s="136">
        <f>+H3</f>
        <v>5.75</v>
      </c>
      <c r="K29">
        <f>+(1+J29/100)^(20/252)</f>
        <v>1.0044469722104472</v>
      </c>
      <c r="O29" s="194">
        <f>(((O24+1)^(252/20))-1)</f>
        <v>0.13647699317534778</v>
      </c>
      <c r="P29" s="194">
        <f>(((P24+1)^(252/20))-1)</f>
        <v>0.15009602732671046</v>
      </c>
      <c r="Q29" s="194">
        <f>(((Q24+1)^(252/20))-1)</f>
        <v>0.12300657131931425</v>
      </c>
    </row>
    <row r="30" spans="1:17" x14ac:dyDescent="0.3">
      <c r="G30" s="2"/>
      <c r="H30"/>
      <c r="K30" s="190">
        <f>(+K29-1)*100</f>
        <v>0.44469722104472087</v>
      </c>
    </row>
    <row r="31" spans="1:17" ht="23.4" x14ac:dyDescent="0.3">
      <c r="G31" s="2"/>
      <c r="H31"/>
      <c r="J31" s="137">
        <f>+((K31)^(252/20)-1)*100</f>
        <v>21.719296085729333</v>
      </c>
      <c r="K31">
        <f>+K29*K26</f>
        <v>1.0157212959395761</v>
      </c>
      <c r="O31" s="194">
        <f>(((O26+1)^(252/20))-1)</f>
        <v>1.2106527126287014E-2</v>
      </c>
      <c r="P31" s="195"/>
      <c r="Q31" s="194">
        <f>(((Q26+1)^(252/20))-1)</f>
        <v>-1.1973078744524135E-2</v>
      </c>
    </row>
    <row r="32" spans="1:17" ht="17.399999999999999" customHeight="1" x14ac:dyDescent="0.3">
      <c r="G32" s="2"/>
      <c r="H32"/>
      <c r="K32" s="190">
        <f>(+K31-1)*100</f>
        <v>1.5721295939576052</v>
      </c>
    </row>
  </sheetData>
  <pageMargins left="0.511811024" right="0.511811024" top="0.78740157499999996" bottom="0.78740157499999996" header="0.31496062000000002" footer="0.31496062000000002"/>
  <pageSetup paperSize="9" orientation="portrait" r:id="rId1"/>
  <headerFooter>
    <oddHeader>&amp;R&amp;"Calibri"&amp;10&amp;K000000#interna&amp;1#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A263"/>
  <sheetViews>
    <sheetView topLeftCell="I1" workbookViewId="0">
      <selection activeCell="X1" sqref="X1"/>
    </sheetView>
  </sheetViews>
  <sheetFormatPr defaultRowHeight="15.6" x14ac:dyDescent="0.3"/>
  <cols>
    <col min="1" max="1" width="15.88671875" bestFit="1" customWidth="1"/>
    <col min="2" max="2" width="20.44140625" bestFit="1" customWidth="1"/>
    <col min="3" max="3" width="19.5546875" customWidth="1"/>
    <col min="4" max="4" width="22.6640625" bestFit="1" customWidth="1"/>
    <col min="5" max="5" width="22" customWidth="1"/>
    <col min="6" max="6" width="20.33203125" customWidth="1"/>
    <col min="7" max="7" width="7" bestFit="1" customWidth="1"/>
    <col min="8" max="8" width="10.5546875" style="2" bestFit="1" customWidth="1"/>
    <col min="9" max="9" width="9.33203125" bestFit="1" customWidth="1"/>
    <col min="10" max="10" width="12" bestFit="1" customWidth="1"/>
    <col min="11" max="12" width="13.44140625" bestFit="1" customWidth="1"/>
    <col min="13" max="14" width="12" bestFit="1" customWidth="1"/>
    <col min="15" max="17" width="14.44140625" bestFit="1" customWidth="1"/>
    <col min="19" max="20" width="9.33203125" bestFit="1" customWidth="1"/>
    <col min="22" max="22" width="33.6640625" bestFit="1" customWidth="1"/>
    <col min="28" max="28" width="11.6640625" bestFit="1" customWidth="1"/>
  </cols>
  <sheetData>
    <row r="1" spans="1:27" ht="31.95" customHeight="1" x14ac:dyDescent="0.3">
      <c r="A1" s="61" t="s">
        <v>108</v>
      </c>
      <c r="B1" s="61" t="s">
        <v>109</v>
      </c>
      <c r="C1" s="61" t="s">
        <v>110</v>
      </c>
      <c r="D1" s="61" t="s">
        <v>114</v>
      </c>
      <c r="E1" s="61" t="s">
        <v>115</v>
      </c>
      <c r="F1" s="61" t="s">
        <v>111</v>
      </c>
      <c r="G1" s="50" t="s">
        <v>112</v>
      </c>
      <c r="H1" s="114" t="s">
        <v>113</v>
      </c>
      <c r="I1" s="49" t="s">
        <v>116</v>
      </c>
      <c r="J1" s="49" t="s">
        <v>296</v>
      </c>
      <c r="K1" s="49" t="s">
        <v>178</v>
      </c>
      <c r="L1" s="49" t="s">
        <v>325</v>
      </c>
      <c r="M1" s="49" t="s">
        <v>295</v>
      </c>
      <c r="N1" s="49" t="s">
        <v>117</v>
      </c>
      <c r="O1" s="75" t="s">
        <v>126</v>
      </c>
      <c r="P1" s="72" t="s">
        <v>124</v>
      </c>
      <c r="Q1" s="73" t="s">
        <v>125</v>
      </c>
      <c r="S1" s="55" t="s">
        <v>113</v>
      </c>
      <c r="T1" s="49" t="s">
        <v>116</v>
      </c>
    </row>
    <row r="2" spans="1:27" ht="17.399999999999999" x14ac:dyDescent="0.3">
      <c r="A2" s="60">
        <v>44421</v>
      </c>
      <c r="B2" s="60">
        <v>44788</v>
      </c>
      <c r="C2" s="118">
        <f>+ROUND((100000/(1+H2/100)^(G2/252)),2)</f>
        <v>97828.21</v>
      </c>
      <c r="D2" s="60"/>
      <c r="E2" s="60"/>
      <c r="F2" s="60"/>
      <c r="G2" s="51">
        <f>NETWORKDAYS(A2,B2-1,Feriados!$A$2:$A$2000)</f>
        <v>252</v>
      </c>
      <c r="H2" s="238">
        <v>2.2200000000000002</v>
      </c>
      <c r="I2" s="57">
        <v>5.15</v>
      </c>
      <c r="J2" s="53">
        <f t="shared" ref="J2" si="0">ROUND(+(1+I2/100)^(1/252),100)</f>
        <v>1.0001992965083399</v>
      </c>
      <c r="K2" s="117">
        <f>ROUND(VLOOKUP(A2,'VNA e PRT'!B:G,6,FALSE),2)</f>
        <v>5822.84</v>
      </c>
      <c r="L2" s="117">
        <f>ROUND(VLOOKUP(A2,'VNA e PRT'!B:G,3,FALSE),2)</f>
        <v>0.96</v>
      </c>
      <c r="M2" s="113"/>
      <c r="N2" s="113"/>
      <c r="O2" s="76">
        <f>+C2*0.00025*K2</f>
        <v>142409.50357910001</v>
      </c>
      <c r="P2" s="76">
        <f>+O2</f>
        <v>142409.50357910001</v>
      </c>
      <c r="Q2" s="76">
        <f>+P2</f>
        <v>142409.50357910001</v>
      </c>
      <c r="S2" s="56">
        <v>2.2200000000000002</v>
      </c>
      <c r="T2" s="57">
        <v>5.15</v>
      </c>
      <c r="AA2" s="197"/>
    </row>
    <row r="3" spans="1:27" ht="15" x14ac:dyDescent="0.3">
      <c r="A3" s="60">
        <v>44424</v>
      </c>
      <c r="B3" s="60">
        <v>44788</v>
      </c>
      <c r="C3" s="54">
        <f t="shared" ref="C3:C66" si="1">+ROUND((100000/(1+H3/100)^(G3/252)),2)</f>
        <v>97884.43</v>
      </c>
      <c r="D3" s="54">
        <f>+C2</f>
        <v>97828.21</v>
      </c>
      <c r="E3" s="54">
        <f>D3*N3</f>
        <v>97805.210859340033</v>
      </c>
      <c r="F3" s="115">
        <f t="shared" ref="F3:F66" si="2">TRUNC((C3-E3)*0.00025*K3,2)</f>
        <v>115.37</v>
      </c>
      <c r="G3" s="51">
        <f>NETWORKDAYS(A3,B3-1,Feriados!$A$2:$A$2000)</f>
        <v>251</v>
      </c>
      <c r="H3" s="121">
        <f>+H2-0.05</f>
        <v>2.1700000000000004</v>
      </c>
      <c r="I3" s="57">
        <v>5.15</v>
      </c>
      <c r="J3" s="53">
        <f t="shared" ref="J3:J4" si="3">ROUND(+(1+I3/100)^(1/252),100)</f>
        <v>1.0001992965083399</v>
      </c>
      <c r="K3" s="117">
        <f>ROUND(VLOOKUP(A3,'VNA e PRT'!B:G,6,FALSE),2)</f>
        <v>5825.37</v>
      </c>
      <c r="L3" s="117">
        <f>ROUND(VLOOKUP(A3,'VNA e PRT'!B:G,3,FALSE),2)</f>
        <v>0.96</v>
      </c>
      <c r="M3" s="113">
        <f>ROUND(K3/K2,100)</f>
        <v>1.0004344958817299</v>
      </c>
      <c r="N3" s="113">
        <f>+J3/M3</f>
        <v>0.99976490277538588</v>
      </c>
      <c r="O3" s="70">
        <f t="shared" ref="O3" si="4">+O2*J2</f>
        <v>142437.88529591775</v>
      </c>
      <c r="P3" s="70">
        <f t="shared" ref="P3" si="5">+(P2*J2)-F3</f>
        <v>142322.51529591775</v>
      </c>
      <c r="Q3" s="70">
        <f t="shared" ref="Q3" si="6">+(Q2*J2)+F3</f>
        <v>142553.25529591774</v>
      </c>
      <c r="S3" s="57">
        <v>2.2799999999999998</v>
      </c>
      <c r="T3" s="57">
        <v>5.15</v>
      </c>
      <c r="AA3" s="197"/>
    </row>
    <row r="4" spans="1:27" ht="15" x14ac:dyDescent="0.3">
      <c r="A4" s="60">
        <v>44425</v>
      </c>
      <c r="B4" s="60">
        <v>44788</v>
      </c>
      <c r="C4" s="54">
        <f t="shared" si="1"/>
        <v>97873.76</v>
      </c>
      <c r="D4" s="54">
        <f>+C3</f>
        <v>97884.43</v>
      </c>
      <c r="E4" s="54">
        <f t="shared" ref="E4:E67" si="7">D4*N4</f>
        <v>97878.398846279058</v>
      </c>
      <c r="F4" s="115">
        <f t="shared" si="2"/>
        <v>-6.75</v>
      </c>
      <c r="G4" s="51">
        <f>NETWORKDAYS(A4,B4-1,Feriados!$A$2:$A$2000)</f>
        <v>250</v>
      </c>
      <c r="H4" s="121">
        <v>2.19</v>
      </c>
      <c r="I4" s="57">
        <v>5.15</v>
      </c>
      <c r="J4" s="53">
        <f t="shared" si="3"/>
        <v>1.0001992965083399</v>
      </c>
      <c r="K4" s="117">
        <f>ROUND(VLOOKUP(A4,'VNA e PRT'!B:G,6,FALSE),2)</f>
        <v>5826.89</v>
      </c>
      <c r="L4" s="117">
        <f>ROUND(VLOOKUP(A4,'VNA e PRT'!B:G,3,FALSE),2)</f>
        <v>0.55000000000000004</v>
      </c>
      <c r="M4" s="113">
        <f t="shared" ref="M4:M67" si="8">ROUND(K4/K3,100)</f>
        <v>1.00026092763206</v>
      </c>
      <c r="N4" s="113">
        <f t="shared" ref="N4:N67" si="9">+J4/M4</f>
        <v>0.99993838495334819</v>
      </c>
      <c r="O4" s="70">
        <f t="shared" ref="O4:O67" si="10">+O3*J3</f>
        <v>142466.27266911254</v>
      </c>
      <c r="P4" s="70">
        <f t="shared" ref="P4:P5" si="11">+(P3*J3)-F4</f>
        <v>142357.62967627437</v>
      </c>
      <c r="Q4" s="70">
        <f t="shared" ref="Q4:Q5" si="12">+(Q3*J3)+F4</f>
        <v>142574.91566195071</v>
      </c>
      <c r="S4" s="57">
        <v>2.19</v>
      </c>
      <c r="T4" s="57">
        <v>5.15</v>
      </c>
      <c r="AA4" s="197"/>
    </row>
    <row r="5" spans="1:27" ht="15" x14ac:dyDescent="0.3">
      <c r="A5" s="60">
        <v>44426</v>
      </c>
      <c r="B5" s="60">
        <v>44788</v>
      </c>
      <c r="C5" s="54">
        <f t="shared" si="1"/>
        <v>97806.52</v>
      </c>
      <c r="D5" s="54">
        <f t="shared" ref="D5:D68" si="13">+C4</f>
        <v>97873.76</v>
      </c>
      <c r="E5" s="54">
        <f t="shared" si="7"/>
        <v>97867.736163386391</v>
      </c>
      <c r="F5" s="115">
        <f t="shared" si="2"/>
        <v>-89.19</v>
      </c>
      <c r="G5" s="51">
        <f>NETWORKDAYS(A5,B5-1,Feriados!$A$2:$A$2000)</f>
        <v>249</v>
      </c>
      <c r="H5" s="121">
        <v>2.27</v>
      </c>
      <c r="I5" s="57">
        <v>5.15</v>
      </c>
      <c r="J5" s="53">
        <f>ROUND(+(1+I5/100)^(1/252),100)</f>
        <v>1.0001992965083399</v>
      </c>
      <c r="K5" s="117">
        <f>ROUND(VLOOKUP(A5,'VNA e PRT'!B:G,6,FALSE),2)</f>
        <v>5828.41</v>
      </c>
      <c r="L5" s="117">
        <f>ROUND(VLOOKUP(A5,'VNA e PRT'!B:G,3,FALSE),2)</f>
        <v>0.55000000000000004</v>
      </c>
      <c r="M5" s="113">
        <f t="shared" si="8"/>
        <v>1.0002608595666</v>
      </c>
      <c r="N5" s="113">
        <f t="shared" si="9"/>
        <v>0.99993845299686446</v>
      </c>
      <c r="O5" s="70">
        <f t="shared" si="10"/>
        <v>142494.66569981171</v>
      </c>
      <c r="P5" s="70">
        <f t="shared" si="11"/>
        <v>142475.1910548044</v>
      </c>
      <c r="Q5" s="70">
        <f t="shared" si="12"/>
        <v>142514.140344819</v>
      </c>
      <c r="S5" s="57">
        <v>2.27</v>
      </c>
      <c r="T5" s="57">
        <v>5.15</v>
      </c>
      <c r="AA5" s="197"/>
    </row>
    <row r="6" spans="1:27" ht="15" x14ac:dyDescent="0.3">
      <c r="A6" s="60">
        <v>44427</v>
      </c>
      <c r="B6" s="60">
        <v>44788</v>
      </c>
      <c r="C6" s="54">
        <f t="shared" si="1"/>
        <v>97758.79</v>
      </c>
      <c r="D6" s="54">
        <f t="shared" si="13"/>
        <v>97806.52</v>
      </c>
      <c r="E6" s="54">
        <f t="shared" si="7"/>
        <v>97800.506953437303</v>
      </c>
      <c r="F6" s="115">
        <f t="shared" si="2"/>
        <v>-60.8</v>
      </c>
      <c r="G6" s="51">
        <f>NETWORKDAYS(A6,B6-1,Feriados!$A$2:$A$2000)</f>
        <v>248</v>
      </c>
      <c r="H6" s="121">
        <v>2.33</v>
      </c>
      <c r="I6" s="57">
        <v>5.15</v>
      </c>
      <c r="J6" s="53">
        <f t="shared" ref="J6:J69" si="14">ROUND(+(1+I6/100)^(1/252),100)</f>
        <v>1.0001992965083399</v>
      </c>
      <c r="K6" s="117">
        <f>ROUND(VLOOKUP(A6,'VNA e PRT'!B:G,6,FALSE),2)</f>
        <v>5829.93</v>
      </c>
      <c r="L6" s="117">
        <f>ROUND(VLOOKUP(A6,'VNA e PRT'!B:G,3,FALSE),2)</f>
        <v>0.55000000000000004</v>
      </c>
      <c r="M6" s="113">
        <f t="shared" si="8"/>
        <v>1.0002607915366299</v>
      </c>
      <c r="N6" s="113">
        <f t="shared" si="9"/>
        <v>0.99993852100491154</v>
      </c>
      <c r="O6" s="70">
        <f t="shared" si="10"/>
        <v>142523.06438914276</v>
      </c>
      <c r="P6" s="70">
        <f t="shared" ref="P6:P69" si="15">+(P5*J5)-F6</f>
        <v>142564.38586290667</v>
      </c>
      <c r="Q6" s="70">
        <f t="shared" ref="Q6:Q69" si="16">+(Q5*J5)+F6</f>
        <v>142481.7429153788</v>
      </c>
      <c r="S6" s="57">
        <v>2.33</v>
      </c>
      <c r="T6" s="57">
        <v>5.15</v>
      </c>
      <c r="AA6" s="197"/>
    </row>
    <row r="7" spans="1:27" ht="15" x14ac:dyDescent="0.3">
      <c r="A7" s="60">
        <v>44428</v>
      </c>
      <c r="B7" s="60">
        <v>44788</v>
      </c>
      <c r="C7" s="54">
        <f t="shared" si="1"/>
        <v>97702.21</v>
      </c>
      <c r="D7" s="54">
        <f t="shared" si="13"/>
        <v>97758.79</v>
      </c>
      <c r="E7" s="54">
        <f t="shared" si="7"/>
        <v>97752.618902709117</v>
      </c>
      <c r="F7" s="115">
        <f t="shared" si="2"/>
        <v>-73.48</v>
      </c>
      <c r="G7" s="51">
        <f>NETWORKDAYS(A7,B7-1,Feriados!$A$2:$A$2000)</f>
        <v>247</v>
      </c>
      <c r="H7" s="121">
        <v>2.4</v>
      </c>
      <c r="I7" s="57">
        <v>5.15</v>
      </c>
      <c r="J7" s="53">
        <f t="shared" si="14"/>
        <v>1.0001992965083399</v>
      </c>
      <c r="K7" s="117">
        <f>ROUND(VLOOKUP(A7,'VNA e PRT'!B:G,6,FALSE),2)</f>
        <v>5831.46</v>
      </c>
      <c r="L7" s="117">
        <f>ROUND(VLOOKUP(A7,'VNA e PRT'!B:G,3,FALSE),2)</f>
        <v>0.55000000000000004</v>
      </c>
      <c r="M7" s="113">
        <f t="shared" si="8"/>
        <v>1.0002624388286001</v>
      </c>
      <c r="N7" s="113">
        <f t="shared" si="9"/>
        <v>0.99993687424638866</v>
      </c>
      <c r="O7" s="70">
        <f t="shared" si="10"/>
        <v>142551.46873823344</v>
      </c>
      <c r="P7" s="70">
        <f t="shared" si="15"/>
        <v>142666.27844722278</v>
      </c>
      <c r="Q7" s="70">
        <f t="shared" si="16"/>
        <v>142436.65902924401</v>
      </c>
      <c r="S7" s="57">
        <v>2.4</v>
      </c>
      <c r="T7" s="57">
        <v>5.15</v>
      </c>
      <c r="AA7" s="197"/>
    </row>
    <row r="8" spans="1:27" ht="15" x14ac:dyDescent="0.3">
      <c r="A8" s="60">
        <v>44431</v>
      </c>
      <c r="B8" s="60">
        <v>44788</v>
      </c>
      <c r="C8" s="54">
        <f t="shared" si="1"/>
        <v>97571.89</v>
      </c>
      <c r="D8" s="54">
        <f t="shared" si="13"/>
        <v>97702.21</v>
      </c>
      <c r="E8" s="54">
        <f t="shared" si="7"/>
        <v>97696.216688651693</v>
      </c>
      <c r="F8" s="115">
        <f t="shared" si="2"/>
        <v>-181.29</v>
      </c>
      <c r="G8" s="51">
        <f>NETWORKDAYS(A8,B8-1,Feriados!$A$2:$A$2000)</f>
        <v>246</v>
      </c>
      <c r="H8" s="121">
        <v>2.5499999999999998</v>
      </c>
      <c r="I8" s="57">
        <v>5.15</v>
      </c>
      <c r="J8" s="53">
        <f t="shared" si="14"/>
        <v>1.0001992965083399</v>
      </c>
      <c r="K8" s="117">
        <f>ROUND(VLOOKUP(A8,'VNA e PRT'!B:G,6,FALSE),2)</f>
        <v>5832.98</v>
      </c>
      <c r="L8" s="117">
        <f>ROUND(VLOOKUP(A8,'VNA e PRT'!B:G,3,FALSE),2)</f>
        <v>0.55000000000000004</v>
      </c>
      <c r="M8" s="113">
        <f t="shared" si="8"/>
        <v>1.00026065513611</v>
      </c>
      <c r="N8" s="113">
        <f t="shared" si="9"/>
        <v>0.99993865736150378</v>
      </c>
      <c r="O8" s="70">
        <f t="shared" si="10"/>
        <v>142579.87874821169</v>
      </c>
      <c r="P8" s="70">
        <f t="shared" si="15"/>
        <v>142876.00133837518</v>
      </c>
      <c r="Q8" s="70">
        <f t="shared" si="16"/>
        <v>142283.75615804814</v>
      </c>
      <c r="S8" s="57">
        <v>2.5499999999999998</v>
      </c>
      <c r="T8" s="57">
        <v>5.15</v>
      </c>
      <c r="AA8" s="197"/>
    </row>
    <row r="9" spans="1:27" ht="15" x14ac:dyDescent="0.3">
      <c r="A9" s="60">
        <v>44432</v>
      </c>
      <c r="B9" s="60">
        <v>44788</v>
      </c>
      <c r="C9" s="54">
        <f t="shared" si="1"/>
        <v>97572.39</v>
      </c>
      <c r="D9" s="54">
        <f t="shared" si="13"/>
        <v>97571.89</v>
      </c>
      <c r="E9" s="54">
        <f t="shared" si="7"/>
        <v>97565.911308105846</v>
      </c>
      <c r="F9" s="115">
        <f t="shared" si="2"/>
        <v>9.44</v>
      </c>
      <c r="G9" s="51">
        <f>NETWORKDAYS(A9,B9-1,Feriados!$A$2:$A$2000)</f>
        <v>245</v>
      </c>
      <c r="H9" s="121">
        <v>2.56</v>
      </c>
      <c r="I9" s="57">
        <v>5.15</v>
      </c>
      <c r="J9" s="53">
        <f t="shared" si="14"/>
        <v>1.0001992965083399</v>
      </c>
      <c r="K9" s="117">
        <f>ROUND(VLOOKUP(A9,'VNA e PRT'!B:G,6,FALSE),2)</f>
        <v>5834.5</v>
      </c>
      <c r="L9" s="117">
        <f>ROUND(VLOOKUP(A9,'VNA e PRT'!B:G,3,FALSE),2)</f>
        <v>0.55000000000000004</v>
      </c>
      <c r="M9" s="113">
        <f t="shared" si="8"/>
        <v>1.0002605872127099</v>
      </c>
      <c r="N9" s="113">
        <f t="shared" si="9"/>
        <v>0.99993872526304295</v>
      </c>
      <c r="O9" s="70">
        <f t="shared" si="10"/>
        <v>142608.29442020573</v>
      </c>
      <c r="P9" s="70">
        <f t="shared" si="15"/>
        <v>142895.03602656748</v>
      </c>
      <c r="Q9" s="70">
        <f t="shared" si="16"/>
        <v>142321.55281384394</v>
      </c>
      <c r="S9" s="57">
        <v>2.56</v>
      </c>
      <c r="T9" s="57">
        <v>5.15</v>
      </c>
      <c r="AA9" s="197"/>
    </row>
    <row r="10" spans="1:27" ht="15" x14ac:dyDescent="0.3">
      <c r="A10" s="60">
        <v>44433</v>
      </c>
      <c r="B10" s="60">
        <v>44788</v>
      </c>
      <c r="C10" s="54">
        <f t="shared" si="1"/>
        <v>97655.93</v>
      </c>
      <c r="D10" s="54">
        <f t="shared" si="13"/>
        <v>97572.39</v>
      </c>
      <c r="E10" s="54">
        <f t="shared" si="7"/>
        <v>97566.25071990068</v>
      </c>
      <c r="F10" s="115">
        <f t="shared" si="2"/>
        <v>130.84</v>
      </c>
      <c r="G10" s="51">
        <f>NETWORKDAYS(A10,B10-1,Feriados!$A$2:$A$2000)</f>
        <v>244</v>
      </c>
      <c r="H10" s="121">
        <v>2.48</v>
      </c>
      <c r="I10" s="57">
        <v>5.15</v>
      </c>
      <c r="J10" s="53">
        <f t="shared" si="14"/>
        <v>1.0001992965083399</v>
      </c>
      <c r="K10" s="117">
        <f>ROUND(VLOOKUP(A10,'VNA e PRT'!B:G,6,FALSE),2)</f>
        <v>5836.03</v>
      </c>
      <c r="L10" s="117">
        <f>ROUND(VLOOKUP(A10,'VNA e PRT'!B:G,3,FALSE),2)</f>
        <v>0.55000000000000004</v>
      </c>
      <c r="M10" s="113">
        <f t="shared" si="8"/>
        <v>1.0002622332676301</v>
      </c>
      <c r="N10" s="113">
        <f t="shared" si="9"/>
        <v>0.99993707974049506</v>
      </c>
      <c r="O10" s="70">
        <f t="shared" si="10"/>
        <v>142636.71575534399</v>
      </c>
      <c r="P10" s="70">
        <f t="shared" si="15"/>
        <v>142792.67450830669</v>
      </c>
      <c r="Q10" s="70">
        <f t="shared" si="16"/>
        <v>142480.75700238126</v>
      </c>
      <c r="S10" s="57">
        <v>2.48</v>
      </c>
      <c r="T10" s="57">
        <v>5.15</v>
      </c>
      <c r="AA10" s="197"/>
    </row>
    <row r="11" spans="1:27" ht="15" x14ac:dyDescent="0.3">
      <c r="A11" s="60">
        <v>44434</v>
      </c>
      <c r="B11" s="60">
        <v>44788</v>
      </c>
      <c r="C11" s="54">
        <f t="shared" si="1"/>
        <v>97693</v>
      </c>
      <c r="D11" s="54">
        <f t="shared" si="13"/>
        <v>97655.93</v>
      </c>
      <c r="E11" s="54">
        <f t="shared" si="7"/>
        <v>97609.327567782238</v>
      </c>
      <c r="F11" s="115">
        <f t="shared" si="2"/>
        <v>122.16</v>
      </c>
      <c r="G11" s="51">
        <f>NETWORKDAYS(A11,B11-1,Feriados!$A$2:$A$2000)</f>
        <v>243</v>
      </c>
      <c r="H11" s="121">
        <v>2.4500000000000002</v>
      </c>
      <c r="I11" s="57">
        <v>5.15</v>
      </c>
      <c r="J11" s="53">
        <f t="shared" si="14"/>
        <v>1.0001992965083399</v>
      </c>
      <c r="K11" s="117">
        <f>ROUND(VLOOKUP(A11,'VNA e PRT'!B:G,6,FALSE),2)</f>
        <v>5839.98</v>
      </c>
      <c r="L11" s="117">
        <f>ROUND(VLOOKUP(A11,'VNA e PRT'!B:G,3,FALSE),2)</f>
        <v>0.66</v>
      </c>
      <c r="M11" s="113">
        <f t="shared" si="8"/>
        <v>1.00067682996832</v>
      </c>
      <c r="N11" s="113">
        <f t="shared" si="9"/>
        <v>0.999522789530367</v>
      </c>
      <c r="O11" s="70">
        <f t="shared" si="10"/>
        <v>142665.1427547551</v>
      </c>
      <c r="P11" s="70">
        <f t="shared" si="15"/>
        <v>142698.97258975272</v>
      </c>
      <c r="Q11" s="70">
        <f t="shared" si="16"/>
        <v>142631.31291975747</v>
      </c>
      <c r="S11" s="57">
        <v>2.4500000000000002</v>
      </c>
      <c r="T11" s="57">
        <v>5.15</v>
      </c>
      <c r="AA11" s="197"/>
    </row>
    <row r="12" spans="1:27" ht="15" x14ac:dyDescent="0.3">
      <c r="A12" s="60">
        <v>44435</v>
      </c>
      <c r="B12" s="60">
        <v>44788</v>
      </c>
      <c r="C12" s="54">
        <f t="shared" si="1"/>
        <v>97757.37</v>
      </c>
      <c r="D12" s="54">
        <f t="shared" si="13"/>
        <v>97693</v>
      </c>
      <c r="E12" s="54">
        <f t="shared" si="7"/>
        <v>97681.860555809675</v>
      </c>
      <c r="F12" s="115">
        <f t="shared" si="2"/>
        <v>110.27</v>
      </c>
      <c r="G12" s="51">
        <f>NETWORKDAYS(A12,B12-1,Feriados!$A$2:$A$2000)</f>
        <v>242</v>
      </c>
      <c r="H12" s="121">
        <v>2.39</v>
      </c>
      <c r="I12" s="57">
        <v>5.15</v>
      </c>
      <c r="J12" s="53">
        <f t="shared" si="14"/>
        <v>1.0001992965083399</v>
      </c>
      <c r="K12" s="117">
        <f>ROUND(VLOOKUP(A12,'VNA e PRT'!B:G,6,FALSE),2)</f>
        <v>5841.81</v>
      </c>
      <c r="L12" s="117">
        <f>ROUND(VLOOKUP(A12,'VNA e PRT'!B:G,3,FALSE),2)</f>
        <v>0.66</v>
      </c>
      <c r="M12" s="113">
        <f t="shared" si="8"/>
        <v>1.00031335723752</v>
      </c>
      <c r="N12" s="113">
        <f t="shared" si="9"/>
        <v>0.99988597500137855</v>
      </c>
      <c r="O12" s="70">
        <f t="shared" si="10"/>
        <v>142693.57541956793</v>
      </c>
      <c r="P12" s="70">
        <f t="shared" si="15"/>
        <v>142617.14199673358</v>
      </c>
      <c r="Q12" s="70">
        <f t="shared" si="16"/>
        <v>142770.00884240231</v>
      </c>
      <c r="S12" s="57">
        <v>2.39</v>
      </c>
      <c r="T12" s="57">
        <v>5.15</v>
      </c>
      <c r="AA12" s="197"/>
    </row>
    <row r="13" spans="1:27" ht="15" x14ac:dyDescent="0.3">
      <c r="A13" s="60">
        <v>44438</v>
      </c>
      <c r="B13" s="60">
        <v>44788</v>
      </c>
      <c r="C13" s="54">
        <f t="shared" si="1"/>
        <v>97757.4</v>
      </c>
      <c r="D13" s="54">
        <f t="shared" si="13"/>
        <v>97757.37</v>
      </c>
      <c r="E13" s="54">
        <f t="shared" si="7"/>
        <v>97746.232807979526</v>
      </c>
      <c r="F13" s="115">
        <f t="shared" si="2"/>
        <v>16.309999999999999</v>
      </c>
      <c r="G13" s="51">
        <f>NETWORKDAYS(A13,B13-1,Feriados!$A$2:$A$2000)</f>
        <v>241</v>
      </c>
      <c r="H13" s="121">
        <v>2.4</v>
      </c>
      <c r="I13" s="57">
        <v>5.15</v>
      </c>
      <c r="J13" s="53">
        <f t="shared" si="14"/>
        <v>1.0001992965083399</v>
      </c>
      <c r="K13" s="117">
        <f>ROUND(VLOOKUP(A13,'VNA e PRT'!B:G,6,FALSE),2)</f>
        <v>5843.64</v>
      </c>
      <c r="L13" s="117">
        <f>ROUND(VLOOKUP(A13,'VNA e PRT'!B:G,3,FALSE),2)</f>
        <v>0.66</v>
      </c>
      <c r="M13" s="113">
        <f t="shared" si="8"/>
        <v>1.0003132590755299</v>
      </c>
      <c r="N13" s="113">
        <f t="shared" si="9"/>
        <v>0.99988607312143862</v>
      </c>
      <c r="O13" s="70">
        <f t="shared" si="10"/>
        <v>142722.0137509116</v>
      </c>
      <c r="P13" s="70">
        <f t="shared" si="15"/>
        <v>142629.25509516295</v>
      </c>
      <c r="Q13" s="70">
        <f t="shared" si="16"/>
        <v>142814.77240666025</v>
      </c>
      <c r="S13" s="57">
        <v>2.4</v>
      </c>
      <c r="T13" s="57">
        <v>5.15</v>
      </c>
      <c r="AA13" s="197"/>
    </row>
    <row r="14" spans="1:27" ht="15" x14ac:dyDescent="0.3">
      <c r="A14" s="60">
        <v>44439</v>
      </c>
      <c r="B14" s="60">
        <v>44788</v>
      </c>
      <c r="C14" s="54">
        <f t="shared" si="1"/>
        <v>97702.99</v>
      </c>
      <c r="D14" s="54">
        <f t="shared" si="13"/>
        <v>97757.4</v>
      </c>
      <c r="E14" s="54">
        <f t="shared" si="7"/>
        <v>97746.272390518978</v>
      </c>
      <c r="F14" s="115">
        <f t="shared" si="2"/>
        <v>-63.25</v>
      </c>
      <c r="G14" s="51">
        <f>NETWORKDAYS(A14,B14-1,Feriados!$A$2:$A$2000)</f>
        <v>240</v>
      </c>
      <c r="H14" s="121">
        <v>2.4700000000000002</v>
      </c>
      <c r="I14" s="57">
        <v>5.15</v>
      </c>
      <c r="J14" s="53">
        <f t="shared" si="14"/>
        <v>1.0001992965083399</v>
      </c>
      <c r="K14" s="117">
        <f>ROUND(VLOOKUP(A14,'VNA e PRT'!B:G,6,FALSE),2)</f>
        <v>5845.47</v>
      </c>
      <c r="L14" s="117">
        <f>ROUND(VLOOKUP(A14,'VNA e PRT'!B:G,3,FALSE),2)</f>
        <v>0.66</v>
      </c>
      <c r="M14" s="113">
        <f t="shared" si="8"/>
        <v>1.00031316097501</v>
      </c>
      <c r="N14" s="113">
        <f t="shared" si="9"/>
        <v>0.99988617118007417</v>
      </c>
      <c r="O14" s="70">
        <f t="shared" si="10"/>
        <v>142750.4577499154</v>
      </c>
      <c r="P14" s="70">
        <f t="shared" si="15"/>
        <v>142720.93060769053</v>
      </c>
      <c r="Q14" s="70">
        <f t="shared" si="16"/>
        <v>142779.98489214026</v>
      </c>
      <c r="S14" s="57">
        <v>2.4700000000000002</v>
      </c>
      <c r="T14" s="57">
        <v>5.15</v>
      </c>
      <c r="AA14" s="197"/>
    </row>
    <row r="15" spans="1:27" ht="15" x14ac:dyDescent="0.3">
      <c r="A15" s="60">
        <v>44440</v>
      </c>
      <c r="B15" s="60">
        <v>44788</v>
      </c>
      <c r="C15" s="54">
        <f t="shared" si="1"/>
        <v>97649.19</v>
      </c>
      <c r="D15" s="54">
        <f t="shared" si="13"/>
        <v>97702.99</v>
      </c>
      <c r="E15" s="54">
        <f t="shared" si="7"/>
        <v>97691.878158570486</v>
      </c>
      <c r="F15" s="115">
        <f t="shared" si="2"/>
        <v>-62.4</v>
      </c>
      <c r="G15" s="51">
        <f>NETWORKDAYS(A15,B15-1,Feriados!$A$2:$A$2000)</f>
        <v>239</v>
      </c>
      <c r="H15" s="121">
        <v>2.54</v>
      </c>
      <c r="I15" s="57">
        <v>5.15</v>
      </c>
      <c r="J15" s="53">
        <f t="shared" si="14"/>
        <v>1.0001992965083399</v>
      </c>
      <c r="K15" s="117">
        <f>ROUND(VLOOKUP(A15,'VNA e PRT'!B:G,6,FALSE),2)</f>
        <v>5847.3</v>
      </c>
      <c r="L15" s="117">
        <f>ROUND(VLOOKUP(A15,'VNA e PRT'!B:G,3,FALSE),2)</f>
        <v>0.66</v>
      </c>
      <c r="M15" s="113">
        <f t="shared" si="8"/>
        <v>1.00031306293591</v>
      </c>
      <c r="N15" s="113">
        <f t="shared" si="9"/>
        <v>0.99988626917733514</v>
      </c>
      <c r="O15" s="70">
        <f t="shared" si="10"/>
        <v>142778.90741770889</v>
      </c>
      <c r="P15" s="70">
        <f t="shared" si="15"/>
        <v>142811.77439082766</v>
      </c>
      <c r="Q15" s="70">
        <f t="shared" si="16"/>
        <v>142746.04044459009</v>
      </c>
      <c r="S15" s="57">
        <v>2.54</v>
      </c>
      <c r="T15" s="57">
        <v>5.15</v>
      </c>
      <c r="AA15" s="197"/>
    </row>
    <row r="16" spans="1:27" ht="15" x14ac:dyDescent="0.3">
      <c r="A16" s="60">
        <v>44441</v>
      </c>
      <c r="B16" s="60">
        <v>44788</v>
      </c>
      <c r="C16" s="54">
        <f t="shared" si="1"/>
        <v>97703.91</v>
      </c>
      <c r="D16" s="54">
        <f t="shared" si="13"/>
        <v>97649.19</v>
      </c>
      <c r="E16" s="54">
        <f t="shared" si="7"/>
        <v>97637.926913389208</v>
      </c>
      <c r="F16" s="115">
        <f t="shared" si="2"/>
        <v>96.48</v>
      </c>
      <c r="G16" s="51">
        <f>NETWORKDAYS(A16,B16-1,Feriados!$A$2:$A$2000)</f>
        <v>238</v>
      </c>
      <c r="H16" s="121">
        <v>2.4900000000000002</v>
      </c>
      <c r="I16" s="57">
        <v>5.15</v>
      </c>
      <c r="J16" s="53">
        <f t="shared" si="14"/>
        <v>1.0001992965083399</v>
      </c>
      <c r="K16" s="117">
        <f>ROUND(VLOOKUP(A16,'VNA e PRT'!B:G,6,FALSE),2)</f>
        <v>5849.14</v>
      </c>
      <c r="L16" s="117">
        <f>ROUND(VLOOKUP(A16,'VNA e PRT'!B:G,3,FALSE),2)</f>
        <v>0.66</v>
      </c>
      <c r="M16" s="113">
        <f t="shared" si="8"/>
        <v>1.00031467514921</v>
      </c>
      <c r="N16" s="113">
        <f t="shared" si="9"/>
        <v>0.99988465765449974</v>
      </c>
      <c r="O16" s="70">
        <f t="shared" si="10"/>
        <v>142807.36275542184</v>
      </c>
      <c r="P16" s="70">
        <f t="shared" si="15"/>
        <v>142743.75627881358</v>
      </c>
      <c r="Q16" s="70">
        <f t="shared" si="16"/>
        <v>142870.96923203007</v>
      </c>
      <c r="S16" s="57">
        <v>2.4900000000000002</v>
      </c>
      <c r="T16" s="57">
        <v>5.15</v>
      </c>
      <c r="AA16" s="197"/>
    </row>
    <row r="17" spans="1:27" ht="15" x14ac:dyDescent="0.3">
      <c r="A17" s="60">
        <v>44442</v>
      </c>
      <c r="B17" s="60">
        <v>44788</v>
      </c>
      <c r="C17" s="54">
        <f t="shared" si="1"/>
        <v>97794.21</v>
      </c>
      <c r="D17" s="54">
        <f t="shared" si="13"/>
        <v>97703.91</v>
      </c>
      <c r="E17" s="54">
        <f t="shared" si="7"/>
        <v>97692.817237638752</v>
      </c>
      <c r="F17" s="115">
        <f t="shared" si="2"/>
        <v>148.31</v>
      </c>
      <c r="G17" s="51">
        <f>NETWORKDAYS(A17,B17-1,Feriados!$A$2:$A$2000)</f>
        <v>237</v>
      </c>
      <c r="H17" s="121">
        <v>2.4</v>
      </c>
      <c r="I17" s="57">
        <v>5.15</v>
      </c>
      <c r="J17" s="53">
        <f t="shared" si="14"/>
        <v>1.0001992965083399</v>
      </c>
      <c r="K17" s="117">
        <f>ROUND(VLOOKUP(A17,'VNA e PRT'!B:G,6,FALSE),2)</f>
        <v>5850.97</v>
      </c>
      <c r="L17" s="117">
        <f>ROUND(VLOOKUP(A17,'VNA e PRT'!B:G,3,FALSE),2)</f>
        <v>0.66</v>
      </c>
      <c r="M17" s="113">
        <f t="shared" si="8"/>
        <v>1.0003128665068699</v>
      </c>
      <c r="N17" s="113">
        <f t="shared" si="9"/>
        <v>0.99988646552260541</v>
      </c>
      <c r="O17" s="70">
        <f t="shared" si="10"/>
        <v>142835.82376418423</v>
      </c>
      <c r="P17" s="70">
        <f t="shared" si="15"/>
        <v>142623.8946110273</v>
      </c>
      <c r="Q17" s="70">
        <f t="shared" si="16"/>
        <v>143047.75291734116</v>
      </c>
      <c r="S17" s="57">
        <v>2.4</v>
      </c>
      <c r="T17" s="57">
        <v>5.15</v>
      </c>
      <c r="AA17" s="197"/>
    </row>
    <row r="18" spans="1:27" ht="15" x14ac:dyDescent="0.3">
      <c r="A18" s="60">
        <v>44445</v>
      </c>
      <c r="B18" s="60">
        <v>44788</v>
      </c>
      <c r="C18" s="54">
        <f t="shared" si="1"/>
        <v>97937.77</v>
      </c>
      <c r="D18" s="54">
        <f t="shared" si="13"/>
        <v>97794.21</v>
      </c>
      <c r="E18" s="54">
        <f t="shared" si="7"/>
        <v>97783.11655103293</v>
      </c>
      <c r="F18" s="115">
        <f t="shared" si="2"/>
        <v>226.28</v>
      </c>
      <c r="G18" s="51">
        <f>NETWORKDAYS(A18,B18-1,Feriados!$A$2:$A$2000)</f>
        <v>236</v>
      </c>
      <c r="H18" s="121">
        <v>2.25</v>
      </c>
      <c r="I18" s="57">
        <v>5.15</v>
      </c>
      <c r="J18" s="53">
        <f t="shared" si="14"/>
        <v>1.0001992965083399</v>
      </c>
      <c r="K18" s="117">
        <f>ROUND(VLOOKUP(A18,'VNA e PRT'!B:G,6,FALSE),2)</f>
        <v>5852.8</v>
      </c>
      <c r="L18" s="117">
        <f>ROUND(VLOOKUP(A18,'VNA e PRT'!B:G,3,FALSE),2)</f>
        <v>0.66</v>
      </c>
      <c r="M18" s="113">
        <f t="shared" si="8"/>
        <v>1.0003127686520401</v>
      </c>
      <c r="N18" s="113">
        <f t="shared" si="9"/>
        <v>0.99988656333573245</v>
      </c>
      <c r="O18" s="70">
        <f t="shared" si="10"/>
        <v>142864.2904451263</v>
      </c>
      <c r="P18" s="70">
        <f t="shared" si="15"/>
        <v>142426.03905522911</v>
      </c>
      <c r="Q18" s="70">
        <f t="shared" si="16"/>
        <v>143302.54183502347</v>
      </c>
      <c r="S18" s="57">
        <v>2.25</v>
      </c>
      <c r="T18" s="57">
        <v>5.15</v>
      </c>
      <c r="AA18" s="197"/>
    </row>
    <row r="19" spans="1:27" ht="15" x14ac:dyDescent="0.3">
      <c r="A19" s="60">
        <v>44447</v>
      </c>
      <c r="B19" s="60">
        <v>44788</v>
      </c>
      <c r="C19" s="54">
        <f t="shared" si="1"/>
        <v>97991.11</v>
      </c>
      <c r="D19" s="54">
        <f t="shared" si="13"/>
        <v>97937.77</v>
      </c>
      <c r="E19" s="54">
        <f t="shared" si="7"/>
        <v>97926.502576327315</v>
      </c>
      <c r="F19" s="115">
        <f t="shared" si="2"/>
        <v>94.56</v>
      </c>
      <c r="G19" s="51">
        <f>NETWORKDAYS(A19,B19-1,Feriados!$A$2:$A$2000)</f>
        <v>235</v>
      </c>
      <c r="H19" s="121">
        <v>2.2000000000000002</v>
      </c>
      <c r="I19" s="57">
        <v>5.15</v>
      </c>
      <c r="J19" s="53">
        <f t="shared" si="14"/>
        <v>1.0001992965083399</v>
      </c>
      <c r="K19" s="117">
        <f>ROUND(VLOOKUP(A19,'VNA e PRT'!B:G,6,FALSE),2)</f>
        <v>5854.64</v>
      </c>
      <c r="L19" s="117">
        <f>ROUND(VLOOKUP(A19,'VNA e PRT'!B:G,3,FALSE),2)</f>
        <v>0.66</v>
      </c>
      <c r="M19" s="113">
        <f t="shared" si="8"/>
        <v>1.0003143794423199</v>
      </c>
      <c r="N19" s="113">
        <f t="shared" si="9"/>
        <v>0.999884953234358</v>
      </c>
      <c r="O19" s="70">
        <f t="shared" si="10"/>
        <v>142892.76279937848</v>
      </c>
      <c r="P19" s="70">
        <f t="shared" si="15"/>
        <v>142359.86406750951</v>
      </c>
      <c r="Q19" s="70">
        <f t="shared" si="16"/>
        <v>143425.66153124743</v>
      </c>
      <c r="S19" s="57">
        <v>2.2000000000000002</v>
      </c>
      <c r="T19" s="57">
        <v>5.15</v>
      </c>
      <c r="AA19" s="197"/>
    </row>
    <row r="20" spans="1:27" ht="15" x14ac:dyDescent="0.3">
      <c r="A20" s="60">
        <v>44448</v>
      </c>
      <c r="B20" s="60">
        <v>44788</v>
      </c>
      <c r="C20" s="54">
        <f t="shared" si="1"/>
        <v>97777.49</v>
      </c>
      <c r="D20" s="54">
        <f t="shared" si="13"/>
        <v>97991.11</v>
      </c>
      <c r="E20" s="54">
        <f t="shared" si="7"/>
        <v>97814.830523494224</v>
      </c>
      <c r="F20" s="115">
        <f t="shared" si="2"/>
        <v>-54.76</v>
      </c>
      <c r="G20" s="51">
        <f>NETWORKDAYS(A20,B20-1,Feriados!$A$2:$A$2000)</f>
        <v>234</v>
      </c>
      <c r="H20" s="121">
        <v>2.4500000000000002</v>
      </c>
      <c r="I20" s="57">
        <v>5.15</v>
      </c>
      <c r="J20" s="53">
        <f t="shared" si="14"/>
        <v>1.0001992965083399</v>
      </c>
      <c r="K20" s="117">
        <f>ROUND(VLOOKUP(A20,'VNA e PRT'!B:G,6,FALSE),2)</f>
        <v>5866.36</v>
      </c>
      <c r="L20" s="117">
        <f>ROUND(VLOOKUP(A20,'VNA e PRT'!B:G,3,FALSE),2)</f>
        <v>0.87</v>
      </c>
      <c r="M20" s="113">
        <f t="shared" si="8"/>
        <v>1.0020018310263299</v>
      </c>
      <c r="N20" s="113">
        <f t="shared" si="9"/>
        <v>0.99820106664261921</v>
      </c>
      <c r="O20" s="70">
        <f t="shared" si="10"/>
        <v>142921.24082807146</v>
      </c>
      <c r="P20" s="70">
        <f t="shared" si="15"/>
        <v>142442.99589134593</v>
      </c>
      <c r="Q20" s="70">
        <f t="shared" si="16"/>
        <v>143399.48576479693</v>
      </c>
      <c r="S20" s="57">
        <v>2.4500000000000002</v>
      </c>
      <c r="T20" s="57">
        <v>5.15</v>
      </c>
      <c r="AA20" s="197"/>
    </row>
    <row r="21" spans="1:27" ht="15" x14ac:dyDescent="0.3">
      <c r="A21" s="60">
        <v>44449</v>
      </c>
      <c r="B21" s="60">
        <v>44788</v>
      </c>
      <c r="C21" s="54">
        <f t="shared" si="1"/>
        <v>97760.42</v>
      </c>
      <c r="D21" s="54">
        <f t="shared" si="13"/>
        <v>97777.49</v>
      </c>
      <c r="E21" s="54">
        <f t="shared" si="7"/>
        <v>97756.649986243705</v>
      </c>
      <c r="F21" s="115">
        <f t="shared" si="2"/>
        <v>5.53</v>
      </c>
      <c r="G21" s="51">
        <f>NETWORKDAYS(A21,B21-1,Feriados!$A$2:$A$2000)</f>
        <v>233</v>
      </c>
      <c r="H21" s="121">
        <v>2.48</v>
      </c>
      <c r="I21" s="57">
        <v>5.15</v>
      </c>
      <c r="J21" s="53">
        <f t="shared" si="14"/>
        <v>1.0001992965083399</v>
      </c>
      <c r="K21" s="117">
        <f>ROUND(VLOOKUP(A21,'VNA e PRT'!B:G,6,FALSE),2)</f>
        <v>5868.78</v>
      </c>
      <c r="L21" s="117">
        <f>ROUND(VLOOKUP(A21,'VNA e PRT'!B:G,3,FALSE),2)</f>
        <v>0.87</v>
      </c>
      <c r="M21" s="113">
        <f t="shared" si="8"/>
        <v>1.0004125215636299</v>
      </c>
      <c r="N21" s="113">
        <f t="shared" si="9"/>
        <v>0.99978686286837282</v>
      </c>
      <c r="O21" s="70">
        <f t="shared" si="10"/>
        <v>142949.72453233611</v>
      </c>
      <c r="P21" s="70">
        <f t="shared" si="15"/>
        <v>142465.85428306455</v>
      </c>
      <c r="Q21" s="70">
        <f t="shared" si="16"/>
        <v>143433.59478160759</v>
      </c>
      <c r="S21" s="57">
        <v>2.48</v>
      </c>
      <c r="T21" s="57">
        <v>5.15</v>
      </c>
      <c r="AA21" s="197"/>
    </row>
    <row r="22" spans="1:27" ht="15" x14ac:dyDescent="0.3">
      <c r="A22" s="60">
        <v>44452</v>
      </c>
      <c r="B22" s="60">
        <v>44788</v>
      </c>
      <c r="C22" s="54">
        <f t="shared" si="1"/>
        <v>97761.14</v>
      </c>
      <c r="D22" s="54">
        <f t="shared" si="13"/>
        <v>97760.42</v>
      </c>
      <c r="E22" s="54">
        <f t="shared" si="7"/>
        <v>97739.600243523062</v>
      </c>
      <c r="F22" s="115">
        <f t="shared" si="2"/>
        <v>31.61</v>
      </c>
      <c r="G22" s="51">
        <f>NETWORKDAYS(A22,B22-1,Feriados!$A$2:$A$2000)</f>
        <v>232</v>
      </c>
      <c r="H22" s="121">
        <v>2.4900000000000002</v>
      </c>
      <c r="I22" s="57">
        <v>5.15</v>
      </c>
      <c r="J22" s="53">
        <f t="shared" si="14"/>
        <v>1.0001992965083399</v>
      </c>
      <c r="K22" s="117">
        <f>ROUND(VLOOKUP(A22,'VNA e PRT'!B:G,6,FALSE),2)</f>
        <v>5871.2</v>
      </c>
      <c r="L22" s="117">
        <f>ROUND(VLOOKUP(A22,'VNA e PRT'!B:G,3,FALSE),2)</f>
        <v>0.87</v>
      </c>
      <c r="M22" s="113">
        <f t="shared" si="8"/>
        <v>1.00041235145976</v>
      </c>
      <c r="N22" s="113">
        <f t="shared" si="9"/>
        <v>0.99978703286588855</v>
      </c>
      <c r="O22" s="70">
        <f t="shared" si="10"/>
        <v>142978.21391330357</v>
      </c>
      <c r="P22" s="70">
        <f t="shared" si="15"/>
        <v>142462.63723038085</v>
      </c>
      <c r="Q22" s="70">
        <f t="shared" si="16"/>
        <v>143493.7905962262</v>
      </c>
      <c r="S22" s="57">
        <v>2.4900000000000002</v>
      </c>
      <c r="T22" s="57">
        <v>5.15</v>
      </c>
      <c r="AA22" s="197"/>
    </row>
    <row r="23" spans="1:27" ht="15" x14ac:dyDescent="0.3">
      <c r="A23" s="60">
        <v>44453</v>
      </c>
      <c r="B23" s="60">
        <v>44788</v>
      </c>
      <c r="C23" s="54">
        <f t="shared" si="1"/>
        <v>97981.02</v>
      </c>
      <c r="D23" s="54">
        <f t="shared" si="13"/>
        <v>97761.14</v>
      </c>
      <c r="E23" s="54">
        <f t="shared" si="7"/>
        <v>97740.336695642851</v>
      </c>
      <c r="F23" s="115">
        <f t="shared" si="2"/>
        <v>353.42</v>
      </c>
      <c r="G23" s="51">
        <f>NETWORKDAYS(A23,B23-1,Feriados!$A$2:$A$2000)</f>
        <v>231</v>
      </c>
      <c r="H23" s="121">
        <v>2.25</v>
      </c>
      <c r="I23" s="57">
        <v>5.15</v>
      </c>
      <c r="J23" s="53">
        <f t="shared" si="14"/>
        <v>1.0001992965083399</v>
      </c>
      <c r="K23" s="117">
        <f>ROUND(VLOOKUP(A23,'VNA e PRT'!B:G,6,FALSE),2)</f>
        <v>5873.62</v>
      </c>
      <c r="L23" s="117">
        <f>ROUND(VLOOKUP(A23,'VNA e PRT'!B:G,3,FALSE),2)</f>
        <v>0.87</v>
      </c>
      <c r="M23" s="113">
        <f t="shared" si="8"/>
        <v>1.00041218149612</v>
      </c>
      <c r="N23" s="113">
        <f t="shared" si="9"/>
        <v>0.99978720272331978</v>
      </c>
      <c r="O23" s="70">
        <f t="shared" si="10"/>
        <v>143006.70897210517</v>
      </c>
      <c r="P23" s="70">
        <f t="shared" si="15"/>
        <v>142137.60953654975</v>
      </c>
      <c r="Q23" s="70">
        <f t="shared" si="16"/>
        <v>143875.80840766052</v>
      </c>
      <c r="S23" s="57">
        <v>2.25</v>
      </c>
      <c r="T23" s="57">
        <v>5.15</v>
      </c>
      <c r="AA23" s="197"/>
    </row>
    <row r="24" spans="1:27" ht="15" x14ac:dyDescent="0.3">
      <c r="A24" s="60">
        <v>44454</v>
      </c>
      <c r="B24" s="60">
        <v>44788</v>
      </c>
      <c r="C24" s="54">
        <f t="shared" si="1"/>
        <v>98068.46</v>
      </c>
      <c r="D24" s="54">
        <f t="shared" si="13"/>
        <v>97981.02</v>
      </c>
      <c r="E24" s="54">
        <f t="shared" si="7"/>
        <v>97960.019823926355</v>
      </c>
      <c r="F24" s="115">
        <f t="shared" si="2"/>
        <v>159.29</v>
      </c>
      <c r="G24" s="51">
        <f>NETWORKDAYS(A24,B24-1,Feriados!$A$2:$A$2000)</f>
        <v>230</v>
      </c>
      <c r="H24" s="121">
        <v>2.16</v>
      </c>
      <c r="I24" s="57">
        <v>5.15</v>
      </c>
      <c r="J24" s="53">
        <f t="shared" si="14"/>
        <v>1.0001992965083399</v>
      </c>
      <c r="K24" s="117">
        <f>ROUND(VLOOKUP(A24,'VNA e PRT'!B:G,6,FALSE),2)</f>
        <v>5876.05</v>
      </c>
      <c r="L24" s="117">
        <f>ROUND(VLOOKUP(A24,'VNA e PRT'!B:G,3,FALSE),2)</f>
        <v>0.87</v>
      </c>
      <c r="M24" s="113">
        <f t="shared" si="8"/>
        <v>1.0004137142000999</v>
      </c>
      <c r="N24" s="113">
        <f t="shared" si="9"/>
        <v>0.99978567097919935</v>
      </c>
      <c r="O24" s="70">
        <f t="shared" si="10"/>
        <v>143035.20970987249</v>
      </c>
      <c r="P24" s="70">
        <f t="shared" si="15"/>
        <v>142006.64706583417</v>
      </c>
      <c r="Q24" s="70">
        <f t="shared" si="16"/>
        <v>144063.77235391075</v>
      </c>
      <c r="S24" s="57">
        <v>2.16</v>
      </c>
      <c r="T24" s="57">
        <v>5.15</v>
      </c>
      <c r="AA24" s="197"/>
    </row>
    <row r="25" spans="1:27" ht="15" x14ac:dyDescent="0.3">
      <c r="A25" s="60">
        <v>44455</v>
      </c>
      <c r="B25" s="60">
        <v>44788</v>
      </c>
      <c r="C25" s="54">
        <f t="shared" si="1"/>
        <v>98059.33</v>
      </c>
      <c r="D25" s="54">
        <f t="shared" si="13"/>
        <v>98068.46</v>
      </c>
      <c r="E25" s="54">
        <f t="shared" si="7"/>
        <v>98042.120845609024</v>
      </c>
      <c r="F25" s="115">
        <f t="shared" si="2"/>
        <v>25.29</v>
      </c>
      <c r="G25" s="51">
        <f>NETWORKDAYS(A25,B25-1,Feriados!$A$2:$A$2000)</f>
        <v>229</v>
      </c>
      <c r="H25" s="121">
        <v>2.1800000000000002</v>
      </c>
      <c r="I25" s="57">
        <v>5.15</v>
      </c>
      <c r="J25" s="53">
        <f t="shared" si="14"/>
        <v>1.0001992965083399</v>
      </c>
      <c r="K25" s="117">
        <f>ROUND(VLOOKUP(A25,'VNA e PRT'!B:G,6,FALSE),2)</f>
        <v>5878.8</v>
      </c>
      <c r="L25" s="117">
        <f>ROUND(VLOOKUP(A25,'VNA e PRT'!B:G,3,FALSE),2)</f>
        <v>0.99</v>
      </c>
      <c r="M25" s="113">
        <f t="shared" si="8"/>
        <v>1.0004680014635701</v>
      </c>
      <c r="N25" s="113">
        <f t="shared" si="9"/>
        <v>0.99973142074025656</v>
      </c>
      <c r="O25" s="70">
        <f t="shared" si="10"/>
        <v>143063.71612773734</v>
      </c>
      <c r="P25" s="70">
        <f t="shared" si="15"/>
        <v>142009.65849475545</v>
      </c>
      <c r="Q25" s="70">
        <f t="shared" si="16"/>
        <v>144117.77376071917</v>
      </c>
      <c r="S25" s="57">
        <v>2.1800000000000002</v>
      </c>
      <c r="T25" s="57">
        <v>5.15</v>
      </c>
      <c r="AA25" s="197"/>
    </row>
    <row r="26" spans="1:27" ht="15" x14ac:dyDescent="0.3">
      <c r="A26" s="60">
        <v>44456</v>
      </c>
      <c r="B26" s="60">
        <v>44788</v>
      </c>
      <c r="C26" s="54">
        <f t="shared" si="1"/>
        <v>98085.09</v>
      </c>
      <c r="D26" s="54">
        <f t="shared" si="13"/>
        <v>98059.33</v>
      </c>
      <c r="E26" s="54">
        <f t="shared" si="7"/>
        <v>98032.848070777836</v>
      </c>
      <c r="F26" s="115">
        <f t="shared" si="2"/>
        <v>76.81</v>
      </c>
      <c r="G26" s="51">
        <f>NETWORKDAYS(A26,B26-1,Feriados!$A$2:$A$2000)</f>
        <v>228</v>
      </c>
      <c r="H26" s="121">
        <v>2.16</v>
      </c>
      <c r="I26" s="57">
        <v>5.15</v>
      </c>
      <c r="J26" s="53">
        <f t="shared" si="14"/>
        <v>1.0001992965083399</v>
      </c>
      <c r="K26" s="117">
        <f>ROUND(VLOOKUP(A26,'VNA e PRT'!B:G,6,FALSE),2)</f>
        <v>5881.56</v>
      </c>
      <c r="L26" s="117">
        <f>ROUND(VLOOKUP(A26,'VNA e PRT'!B:G,3,FALSE),2)</f>
        <v>0.99</v>
      </c>
      <c r="M26" s="113">
        <f t="shared" si="8"/>
        <v>1.0004694835680801</v>
      </c>
      <c r="N26" s="113">
        <f t="shared" si="9"/>
        <v>0.99972993972911939</v>
      </c>
      <c r="O26" s="70">
        <f t="shared" si="10"/>
        <v>143092.22822683174</v>
      </c>
      <c r="P26" s="70">
        <f t="shared" si="15"/>
        <v>141961.150523844</v>
      </c>
      <c r="Q26" s="70">
        <f t="shared" si="16"/>
        <v>144223.30592981941</v>
      </c>
      <c r="S26" s="57">
        <v>2.16</v>
      </c>
      <c r="T26" s="57">
        <v>5.15</v>
      </c>
      <c r="AA26" s="197"/>
    </row>
    <row r="27" spans="1:27" ht="15" x14ac:dyDescent="0.3">
      <c r="A27" s="60">
        <v>44459</v>
      </c>
      <c r="B27" s="60">
        <v>44788</v>
      </c>
      <c r="C27" s="54">
        <f t="shared" si="1"/>
        <v>98058.83</v>
      </c>
      <c r="D27" s="54">
        <f t="shared" si="13"/>
        <v>98085.09</v>
      </c>
      <c r="E27" s="54">
        <f t="shared" si="7"/>
        <v>98058.622707319024</v>
      </c>
      <c r="F27" s="115">
        <f t="shared" si="2"/>
        <v>0.3</v>
      </c>
      <c r="G27" s="51">
        <f>NETWORKDAYS(A27,B27-1,Feriados!$A$2:$A$2000)</f>
        <v>227</v>
      </c>
      <c r="H27" s="121">
        <v>2.2000000000000002</v>
      </c>
      <c r="I27" s="57">
        <v>5.15</v>
      </c>
      <c r="J27" s="53">
        <f t="shared" si="14"/>
        <v>1.0001992965083399</v>
      </c>
      <c r="K27" s="117">
        <f>ROUND(VLOOKUP(A27,'VNA e PRT'!B:G,6,FALSE),2)</f>
        <v>5884.32</v>
      </c>
      <c r="L27" s="117">
        <f>ROUND(VLOOKUP(A27,'VNA e PRT'!B:G,3,FALSE),2)</f>
        <v>0.99</v>
      </c>
      <c r="M27" s="113">
        <f t="shared" si="8"/>
        <v>1.0004692632566901</v>
      </c>
      <c r="N27" s="113">
        <f t="shared" si="9"/>
        <v>0.99973015987770442</v>
      </c>
      <c r="O27" s="70">
        <f t="shared" si="10"/>
        <v>143120.74600828791</v>
      </c>
      <c r="P27" s="70">
        <f t="shared" si="15"/>
        <v>141989.14288546334</v>
      </c>
      <c r="Q27" s="70">
        <f t="shared" si="16"/>
        <v>144252.34913111245</v>
      </c>
      <c r="S27" s="57">
        <v>2.2000000000000002</v>
      </c>
      <c r="T27" s="57">
        <v>5.15</v>
      </c>
      <c r="AA27" s="197"/>
    </row>
    <row r="28" spans="1:27" ht="15" x14ac:dyDescent="0.3">
      <c r="A28" s="60">
        <v>44460</v>
      </c>
      <c r="B28" s="60">
        <v>44788</v>
      </c>
      <c r="C28" s="54">
        <f t="shared" si="1"/>
        <v>98058.69</v>
      </c>
      <c r="D28" s="54">
        <f t="shared" si="13"/>
        <v>98058.83</v>
      </c>
      <c r="E28" s="54">
        <f t="shared" si="7"/>
        <v>98032.391360591966</v>
      </c>
      <c r="F28" s="115">
        <f t="shared" si="2"/>
        <v>38.700000000000003</v>
      </c>
      <c r="G28" s="51">
        <f>NETWORKDAYS(A28,B28-1,Feriados!$A$2:$A$2000)</f>
        <v>226</v>
      </c>
      <c r="H28" s="121">
        <v>2.21</v>
      </c>
      <c r="I28" s="57">
        <v>5.15</v>
      </c>
      <c r="J28" s="53">
        <f t="shared" si="14"/>
        <v>1.0001992965083399</v>
      </c>
      <c r="K28" s="117">
        <f>ROUND(VLOOKUP(A28,'VNA e PRT'!B:G,6,FALSE),2)</f>
        <v>5887.08</v>
      </c>
      <c r="L28" s="117">
        <f>ROUND(VLOOKUP(A28,'VNA e PRT'!B:G,3,FALSE),2)</f>
        <v>0.99</v>
      </c>
      <c r="M28" s="113">
        <f t="shared" si="8"/>
        <v>1.00046904315197</v>
      </c>
      <c r="N28" s="113">
        <f t="shared" si="9"/>
        <v>0.99973037981986901</v>
      </c>
      <c r="O28" s="70">
        <f t="shared" si="10"/>
        <v>143149.26947323838</v>
      </c>
      <c r="P28" s="70">
        <f t="shared" si="15"/>
        <v>141978.74082586259</v>
      </c>
      <c r="Q28" s="70">
        <f t="shared" si="16"/>
        <v>144319.79812061414</v>
      </c>
      <c r="S28" s="57">
        <v>2.21</v>
      </c>
      <c r="T28" s="57">
        <v>5.15</v>
      </c>
      <c r="AA28" s="197"/>
    </row>
    <row r="29" spans="1:27" ht="15" x14ac:dyDescent="0.3">
      <c r="A29" s="60">
        <v>44461</v>
      </c>
      <c r="B29" s="60">
        <v>44788</v>
      </c>
      <c r="C29" s="54">
        <f t="shared" si="1"/>
        <v>97981.61</v>
      </c>
      <c r="D29" s="54">
        <f t="shared" si="13"/>
        <v>98058.69</v>
      </c>
      <c r="E29" s="54">
        <f t="shared" si="7"/>
        <v>98032.272945366392</v>
      </c>
      <c r="F29" s="115">
        <f t="shared" si="2"/>
        <v>-74.59</v>
      </c>
      <c r="G29" s="51">
        <f>NETWORKDAYS(A29,B29-1,Feriados!$A$2:$A$2000)</f>
        <v>225</v>
      </c>
      <c r="H29" s="121">
        <v>2.31</v>
      </c>
      <c r="I29" s="57">
        <v>5.15</v>
      </c>
      <c r="J29" s="53">
        <f t="shared" si="14"/>
        <v>1.0001992965083399</v>
      </c>
      <c r="K29" s="117">
        <f>ROUND(VLOOKUP(A29,'VNA e PRT'!B:G,6,FALSE),2)</f>
        <v>5889.84</v>
      </c>
      <c r="L29" s="117">
        <f>ROUND(VLOOKUP(A29,'VNA e PRT'!B:G,3,FALSE),2)</f>
        <v>0.99</v>
      </c>
      <c r="M29" s="113">
        <f t="shared" si="8"/>
        <v>1.0004688232536301</v>
      </c>
      <c r="N29" s="113">
        <f t="shared" si="9"/>
        <v>0.9997305995559026</v>
      </c>
      <c r="O29" s="70">
        <f t="shared" si="10"/>
        <v>143177.79862281581</v>
      </c>
      <c r="P29" s="70">
        <f t="shared" si="15"/>
        <v>142081.62669316769</v>
      </c>
      <c r="Q29" s="70">
        <f t="shared" si="16"/>
        <v>144273.9705524639</v>
      </c>
      <c r="S29" s="57">
        <v>2.31</v>
      </c>
      <c r="T29" s="57">
        <v>5.15</v>
      </c>
      <c r="AA29" s="197"/>
    </row>
    <row r="30" spans="1:27" ht="15" x14ac:dyDescent="0.3">
      <c r="A30" s="60">
        <v>44462</v>
      </c>
      <c r="B30" s="60">
        <v>44788</v>
      </c>
      <c r="C30" s="54">
        <f t="shared" si="1"/>
        <v>98016.04</v>
      </c>
      <c r="D30" s="54">
        <f t="shared" si="13"/>
        <v>97981.61</v>
      </c>
      <c r="E30" s="54">
        <f t="shared" si="7"/>
        <v>97955.068986635801</v>
      </c>
      <c r="F30" s="115">
        <f t="shared" si="2"/>
        <v>89.81</v>
      </c>
      <c r="G30" s="51">
        <f>NETWORKDAYS(A30,B30-1,Feriados!$A$2:$A$2000)</f>
        <v>224</v>
      </c>
      <c r="H30" s="121">
        <v>2.2799999999999998</v>
      </c>
      <c r="I30" s="57">
        <v>5.15</v>
      </c>
      <c r="J30" s="53">
        <f t="shared" si="14"/>
        <v>1.0001992965083399</v>
      </c>
      <c r="K30" s="117">
        <f>ROUND(VLOOKUP(A30,'VNA e PRT'!B:G,6,FALSE),2)</f>
        <v>5892.61</v>
      </c>
      <c r="L30" s="117">
        <f>ROUND(VLOOKUP(A30,'VNA e PRT'!B:G,3,FALSE),2)</f>
        <v>0.99</v>
      </c>
      <c r="M30" s="113">
        <f t="shared" si="8"/>
        <v>1.00047030140038</v>
      </c>
      <c r="N30" s="113">
        <f t="shared" si="9"/>
        <v>0.99972912250202661</v>
      </c>
      <c r="O30" s="70">
        <f t="shared" si="10"/>
        <v>143206.33345815312</v>
      </c>
      <c r="P30" s="70">
        <f t="shared" si="15"/>
        <v>142020.13306526691</v>
      </c>
      <c r="Q30" s="70">
        <f t="shared" si="16"/>
        <v>144392.53385103933</v>
      </c>
      <c r="S30" s="57">
        <v>2.2799999999999998</v>
      </c>
      <c r="T30" s="57">
        <v>5.15</v>
      </c>
      <c r="AA30" s="197"/>
    </row>
    <row r="31" spans="1:27" ht="15" x14ac:dyDescent="0.3">
      <c r="A31" s="60">
        <v>44463</v>
      </c>
      <c r="B31" s="60">
        <v>44788</v>
      </c>
      <c r="C31" s="54">
        <f t="shared" si="1"/>
        <v>98143.69</v>
      </c>
      <c r="D31" s="54">
        <f t="shared" si="13"/>
        <v>98016.04</v>
      </c>
      <c r="E31" s="54">
        <f t="shared" si="7"/>
        <v>97993.358153919471</v>
      </c>
      <c r="F31" s="115">
        <f t="shared" si="2"/>
        <v>221.56</v>
      </c>
      <c r="G31" s="51">
        <f>NETWORKDAYS(A31,B31-1,Feriados!$A$2:$A$2000)</f>
        <v>223</v>
      </c>
      <c r="H31" s="121">
        <v>2.14</v>
      </c>
      <c r="I31" s="57">
        <v>6.15</v>
      </c>
      <c r="J31" s="53">
        <f t="shared" si="14"/>
        <v>1.00023686535833</v>
      </c>
      <c r="K31" s="117">
        <f>ROUND(VLOOKUP(A31,'VNA e PRT'!B:G,6,FALSE),2)</f>
        <v>5895.37</v>
      </c>
      <c r="L31" s="117">
        <f>ROUND(VLOOKUP(A31,'VNA e PRT'!B:G,3,FALSE),2)</f>
        <v>0.99</v>
      </c>
      <c r="M31" s="113">
        <f t="shared" si="8"/>
        <v>1.00046838328007</v>
      </c>
      <c r="N31" s="113">
        <f t="shared" si="9"/>
        <v>0.99976859046661626</v>
      </c>
      <c r="O31" s="70">
        <f t="shared" si="10"/>
        <v>143234.87398038351</v>
      </c>
      <c r="P31" s="70">
        <f t="shared" si="15"/>
        <v>141826.87718190081</v>
      </c>
      <c r="Q31" s="70">
        <f t="shared" si="16"/>
        <v>144642.8707788662</v>
      </c>
      <c r="S31" s="57">
        <v>2.14</v>
      </c>
      <c r="T31" s="57">
        <v>6.15</v>
      </c>
      <c r="AA31" s="197"/>
    </row>
    <row r="32" spans="1:27" ht="15" x14ac:dyDescent="0.3">
      <c r="A32" s="60">
        <v>44466</v>
      </c>
      <c r="B32" s="60">
        <v>44788</v>
      </c>
      <c r="C32" s="54">
        <f t="shared" si="1"/>
        <v>97991.38</v>
      </c>
      <c r="D32" s="54">
        <f t="shared" si="13"/>
        <v>98143.69</v>
      </c>
      <c r="E32" s="54">
        <f t="shared" si="7"/>
        <v>98032.078441901176</v>
      </c>
      <c r="F32" s="115">
        <f t="shared" si="2"/>
        <v>-60.06</v>
      </c>
      <c r="G32" s="51">
        <f>NETWORKDAYS(A32,B32-1,Feriados!$A$2:$A$2000)</f>
        <v>222</v>
      </c>
      <c r="H32" s="121">
        <v>2.33</v>
      </c>
      <c r="I32" s="57">
        <v>6.15</v>
      </c>
      <c r="J32" s="53">
        <f t="shared" si="14"/>
        <v>1.00023686535833</v>
      </c>
      <c r="K32" s="117">
        <f>ROUND(VLOOKUP(A32,'VNA e PRT'!B:G,6,FALSE),2)</f>
        <v>5903.48</v>
      </c>
      <c r="L32" s="117">
        <f>ROUND(VLOOKUP(A32,'VNA e PRT'!B:G,3,FALSE),2)</f>
        <v>1.23</v>
      </c>
      <c r="M32" s="113">
        <f t="shared" si="8"/>
        <v>1.0013756558112601</v>
      </c>
      <c r="N32" s="113">
        <f t="shared" si="9"/>
        <v>0.99886277397865486</v>
      </c>
      <c r="O32" s="70">
        <f t="shared" si="10"/>
        <v>143268.80136013421</v>
      </c>
      <c r="P32" s="70">
        <f t="shared" si="15"/>
        <v>141920.53105598534</v>
      </c>
      <c r="Q32" s="70">
        <f t="shared" si="16"/>
        <v>144617.07166428311</v>
      </c>
      <c r="S32" s="57">
        <v>2.33</v>
      </c>
      <c r="T32" s="57">
        <v>6.15</v>
      </c>
      <c r="AA32" s="197"/>
    </row>
    <row r="33" spans="1:27" ht="15" x14ac:dyDescent="0.3">
      <c r="A33" s="60">
        <v>44467</v>
      </c>
      <c r="B33" s="60">
        <v>44788</v>
      </c>
      <c r="C33" s="54">
        <f t="shared" si="1"/>
        <v>98000.33</v>
      </c>
      <c r="D33" s="54">
        <f t="shared" si="13"/>
        <v>97991.38</v>
      </c>
      <c r="E33" s="54">
        <f t="shared" si="7"/>
        <v>97957.676057286473</v>
      </c>
      <c r="F33" s="115">
        <f t="shared" si="2"/>
        <v>62.98</v>
      </c>
      <c r="G33" s="51">
        <f>NETWORKDAYS(A33,B33-1,Feriados!$A$2:$A$2000)</f>
        <v>221</v>
      </c>
      <c r="H33" s="121">
        <v>2.33</v>
      </c>
      <c r="I33" s="57">
        <v>6.15</v>
      </c>
      <c r="J33" s="53">
        <f t="shared" si="14"/>
        <v>1.00023686535833</v>
      </c>
      <c r="K33" s="117">
        <f>ROUND(VLOOKUP(A33,'VNA e PRT'!B:G,6,FALSE),2)</f>
        <v>5906.91</v>
      </c>
      <c r="L33" s="117">
        <f>ROUND(VLOOKUP(A33,'VNA e PRT'!B:G,3,FALSE),2)</f>
        <v>1.23</v>
      </c>
      <c r="M33" s="113">
        <f t="shared" si="8"/>
        <v>1.0005810132328701</v>
      </c>
      <c r="N33" s="113">
        <f t="shared" si="9"/>
        <v>0.99965605196382035</v>
      </c>
      <c r="O33" s="70">
        <f t="shared" si="10"/>
        <v>143302.73677610588</v>
      </c>
      <c r="P33" s="70">
        <f t="shared" si="15"/>
        <v>141891.1671134283</v>
      </c>
      <c r="Q33" s="70">
        <f t="shared" si="16"/>
        <v>144714.3064387835</v>
      </c>
      <c r="S33" s="57">
        <v>2.33</v>
      </c>
      <c r="T33" s="57">
        <v>6.15</v>
      </c>
      <c r="AA33" s="197"/>
    </row>
    <row r="34" spans="1:27" ht="15" x14ac:dyDescent="0.3">
      <c r="A34" s="60">
        <v>44468</v>
      </c>
      <c r="B34" s="60">
        <v>44788</v>
      </c>
      <c r="C34" s="54">
        <f t="shared" si="1"/>
        <v>97950.8</v>
      </c>
      <c r="D34" s="54">
        <f t="shared" si="13"/>
        <v>98000.33</v>
      </c>
      <c r="E34" s="54">
        <f t="shared" si="7"/>
        <v>97966.490257377067</v>
      </c>
      <c r="F34" s="115">
        <f t="shared" si="2"/>
        <v>-23.18</v>
      </c>
      <c r="G34" s="51">
        <f>NETWORKDAYS(A34,B34-1,Feriados!$A$2:$A$2000)</f>
        <v>220</v>
      </c>
      <c r="H34" s="121">
        <v>2.4</v>
      </c>
      <c r="I34" s="57">
        <v>6.15</v>
      </c>
      <c r="J34" s="53">
        <f t="shared" si="14"/>
        <v>1.00023686535833</v>
      </c>
      <c r="K34" s="117">
        <f>ROUND(VLOOKUP(A34,'VNA e PRT'!B:G,6,FALSE),2)</f>
        <v>5910.35</v>
      </c>
      <c r="L34" s="117">
        <f>ROUND(VLOOKUP(A34,'VNA e PRT'!B:G,3,FALSE),2)</f>
        <v>1.23</v>
      </c>
      <c r="M34" s="113">
        <f t="shared" si="8"/>
        <v>1.0005823687850299</v>
      </c>
      <c r="N34" s="113">
        <f t="shared" si="9"/>
        <v>0.99965469766660042</v>
      </c>
      <c r="O34" s="70">
        <f t="shared" si="10"/>
        <v>143336.68023020204</v>
      </c>
      <c r="P34" s="70">
        <f t="shared" si="15"/>
        <v>141947.95621557048</v>
      </c>
      <c r="Q34" s="70">
        <f t="shared" si="16"/>
        <v>144725.40424483363</v>
      </c>
      <c r="S34" s="57">
        <v>2.4</v>
      </c>
      <c r="T34" s="57">
        <v>6.15</v>
      </c>
      <c r="AA34" s="197"/>
    </row>
    <row r="35" spans="1:27" ht="15" x14ac:dyDescent="0.3">
      <c r="A35" s="60">
        <v>44469</v>
      </c>
      <c r="B35" s="60">
        <v>44788</v>
      </c>
      <c r="C35" s="54">
        <f t="shared" si="1"/>
        <v>97885.25</v>
      </c>
      <c r="D35" s="54">
        <f t="shared" si="13"/>
        <v>97950.8</v>
      </c>
      <c r="E35" s="54">
        <f t="shared" si="7"/>
        <v>97917.010530442552</v>
      </c>
      <c r="F35" s="115">
        <f t="shared" si="2"/>
        <v>-46.95</v>
      </c>
      <c r="G35" s="51">
        <f>NETWORKDAYS(A35,B35-1,Feriados!$A$2:$A$2000)</f>
        <v>219</v>
      </c>
      <c r="H35" s="121">
        <v>2.4900000000000002</v>
      </c>
      <c r="I35" s="57">
        <v>6.15</v>
      </c>
      <c r="J35" s="53">
        <f t="shared" si="14"/>
        <v>1.00023686535833</v>
      </c>
      <c r="K35" s="117">
        <f>ROUND(VLOOKUP(A35,'VNA e PRT'!B:G,6,FALSE),2)</f>
        <v>5913.79</v>
      </c>
      <c r="L35" s="117">
        <f>ROUND(VLOOKUP(A35,'VNA e PRT'!B:G,3,FALSE),2)</f>
        <v>1.23</v>
      </c>
      <c r="M35" s="113">
        <f t="shared" si="8"/>
        <v>1.00058202982903</v>
      </c>
      <c r="N35" s="113">
        <f t="shared" si="9"/>
        <v>0.99965503630845842</v>
      </c>
      <c r="O35" s="70">
        <f t="shared" si="10"/>
        <v>143370.63172432661</v>
      </c>
      <c r="P35" s="70">
        <f t="shared" si="15"/>
        <v>142028.5287690837</v>
      </c>
      <c r="Q35" s="70">
        <f t="shared" si="16"/>
        <v>144712.73467956952</v>
      </c>
      <c r="S35" s="57">
        <v>2.4900000000000002</v>
      </c>
      <c r="T35" s="57">
        <v>6.15</v>
      </c>
      <c r="AA35" s="197"/>
    </row>
    <row r="36" spans="1:27" ht="15" x14ac:dyDescent="0.3">
      <c r="A36" s="60">
        <v>44470</v>
      </c>
      <c r="B36" s="60">
        <v>44788</v>
      </c>
      <c r="C36" s="54">
        <f t="shared" si="1"/>
        <v>97894.81</v>
      </c>
      <c r="D36" s="54">
        <f t="shared" si="13"/>
        <v>97885.25</v>
      </c>
      <c r="E36" s="54">
        <f t="shared" si="7"/>
        <v>97851.350885494132</v>
      </c>
      <c r="F36" s="115">
        <f t="shared" si="2"/>
        <v>64.28</v>
      </c>
      <c r="G36" s="51">
        <f>NETWORKDAYS(A36,B36-1,Feriados!$A$2:$A$2000)</f>
        <v>218</v>
      </c>
      <c r="H36" s="121">
        <v>2.4900000000000002</v>
      </c>
      <c r="I36" s="57">
        <v>6.15</v>
      </c>
      <c r="J36" s="53">
        <f t="shared" si="14"/>
        <v>1.00023686535833</v>
      </c>
      <c r="K36" s="117">
        <f>ROUND(VLOOKUP(A36,'VNA e PRT'!B:G,6,FALSE),2)</f>
        <v>5917.24</v>
      </c>
      <c r="L36" s="117">
        <f>ROUND(VLOOKUP(A36,'VNA e PRT'!B:G,3,FALSE),2)</f>
        <v>1.23</v>
      </c>
      <c r="M36" s="113">
        <f t="shared" si="8"/>
        <v>1.00058338223035</v>
      </c>
      <c r="N36" s="113">
        <f t="shared" si="9"/>
        <v>0.99965368516190267</v>
      </c>
      <c r="O36" s="70">
        <f t="shared" si="10"/>
        <v>143404.59126038398</v>
      </c>
      <c r="P36" s="70">
        <f t="shared" si="15"/>
        <v>141997.89040744369</v>
      </c>
      <c r="Q36" s="70">
        <f t="shared" si="16"/>
        <v>144811.29211332431</v>
      </c>
      <c r="S36" s="57">
        <v>2.4900000000000002</v>
      </c>
      <c r="T36" s="57">
        <v>6.15</v>
      </c>
      <c r="AA36" s="197"/>
    </row>
    <row r="37" spans="1:27" ht="15" x14ac:dyDescent="0.3">
      <c r="A37" s="60">
        <v>44473</v>
      </c>
      <c r="B37" s="60">
        <v>44788</v>
      </c>
      <c r="C37" s="54">
        <f t="shared" si="1"/>
        <v>97830.39</v>
      </c>
      <c r="D37" s="54">
        <f t="shared" si="13"/>
        <v>97894.81</v>
      </c>
      <c r="E37" s="54">
        <f t="shared" si="7"/>
        <v>97861.106128042506</v>
      </c>
      <c r="F37" s="115">
        <f t="shared" si="2"/>
        <v>-45.46</v>
      </c>
      <c r="G37" s="51">
        <f>NETWORKDAYS(A37,B37-1,Feriados!$A$2:$A$2000)</f>
        <v>217</v>
      </c>
      <c r="H37" s="121">
        <v>2.58</v>
      </c>
      <c r="I37" s="57">
        <v>6.15</v>
      </c>
      <c r="J37" s="53">
        <f t="shared" si="14"/>
        <v>1.00023686535833</v>
      </c>
      <c r="K37" s="117">
        <f>ROUND(VLOOKUP(A37,'VNA e PRT'!B:G,6,FALSE),2)</f>
        <v>5920.68</v>
      </c>
      <c r="L37" s="117">
        <f>ROUND(VLOOKUP(A37,'VNA e PRT'!B:G,3,FALSE),2)</f>
        <v>1.23</v>
      </c>
      <c r="M37" s="113">
        <f t="shared" si="8"/>
        <v>1.00058135211687</v>
      </c>
      <c r="N37" s="113">
        <f t="shared" si="9"/>
        <v>0.99965571339320758</v>
      </c>
      <c r="O37" s="70">
        <f t="shared" si="10"/>
        <v>143438.55884027903</v>
      </c>
      <c r="P37" s="70">
        <f t="shared" si="15"/>
        <v>142076.98478863714</v>
      </c>
      <c r="Q37" s="70">
        <f t="shared" si="16"/>
        <v>144800.13289192098</v>
      </c>
      <c r="S37" s="57">
        <v>2.58</v>
      </c>
      <c r="T37" s="57">
        <v>6.15</v>
      </c>
      <c r="AA37" s="197"/>
    </row>
    <row r="38" spans="1:27" ht="15" x14ac:dyDescent="0.3">
      <c r="A38" s="60">
        <v>44474</v>
      </c>
      <c r="B38" s="60">
        <v>44788</v>
      </c>
      <c r="C38" s="54">
        <f t="shared" si="1"/>
        <v>97872.99</v>
      </c>
      <c r="D38" s="54">
        <f t="shared" si="13"/>
        <v>97830.39</v>
      </c>
      <c r="E38" s="54">
        <f t="shared" si="7"/>
        <v>97796.576238950787</v>
      </c>
      <c r="F38" s="115">
        <f t="shared" si="2"/>
        <v>113.17</v>
      </c>
      <c r="G38" s="51">
        <f>NETWORKDAYS(A38,B38-1,Feriados!$A$2:$A$2000)</f>
        <v>216</v>
      </c>
      <c r="H38" s="121">
        <v>2.54</v>
      </c>
      <c r="I38" s="57">
        <v>6.15</v>
      </c>
      <c r="J38" s="53">
        <f t="shared" si="14"/>
        <v>1.00023686535833</v>
      </c>
      <c r="K38" s="117">
        <f>ROUND(VLOOKUP(A38,'VNA e PRT'!B:G,6,FALSE),2)</f>
        <v>5924.13</v>
      </c>
      <c r="L38" s="117">
        <f>ROUND(VLOOKUP(A38,'VNA e PRT'!B:G,3,FALSE),2)</f>
        <v>1.23</v>
      </c>
      <c r="M38" s="113">
        <f t="shared" si="8"/>
        <v>1.00058270333813</v>
      </c>
      <c r="N38" s="113">
        <f t="shared" si="9"/>
        <v>0.99965436342378666</v>
      </c>
      <c r="O38" s="70">
        <f t="shared" si="10"/>
        <v>143472.53446591707</v>
      </c>
      <c r="P38" s="70">
        <f t="shared" si="15"/>
        <v>141997.46790454953</v>
      </c>
      <c r="Q38" s="70">
        <f t="shared" si="16"/>
        <v>144947.60102728466</v>
      </c>
      <c r="S38" s="57">
        <v>2.54</v>
      </c>
      <c r="T38" s="57">
        <v>6.15</v>
      </c>
      <c r="AA38" s="197"/>
    </row>
    <row r="39" spans="1:27" ht="15" x14ac:dyDescent="0.3">
      <c r="A39" s="60">
        <v>44475</v>
      </c>
      <c r="B39" s="60">
        <v>44788</v>
      </c>
      <c r="C39" s="54">
        <f t="shared" si="1"/>
        <v>97890.880000000005</v>
      </c>
      <c r="D39" s="54">
        <f t="shared" si="13"/>
        <v>97872.99</v>
      </c>
      <c r="E39" s="54">
        <f t="shared" si="7"/>
        <v>97839.194696781982</v>
      </c>
      <c r="F39" s="115">
        <f t="shared" si="2"/>
        <v>76.59</v>
      </c>
      <c r="G39" s="51">
        <f>NETWORKDAYS(A39,B39-1,Feriados!$A$2:$A$2000)</f>
        <v>215</v>
      </c>
      <c r="H39" s="121">
        <v>2.5299999999999998</v>
      </c>
      <c r="I39" s="57">
        <v>6.15</v>
      </c>
      <c r="J39" s="53">
        <f t="shared" si="14"/>
        <v>1.00023686535833</v>
      </c>
      <c r="K39" s="117">
        <f>ROUND(VLOOKUP(A39,'VNA e PRT'!B:G,6,FALSE),2)</f>
        <v>5927.58</v>
      </c>
      <c r="L39" s="117">
        <f>ROUND(VLOOKUP(A39,'VNA e PRT'!B:G,3,FALSE),2)</f>
        <v>1.23</v>
      </c>
      <c r="M39" s="113">
        <f t="shared" si="8"/>
        <v>1.0005823639926901</v>
      </c>
      <c r="N39" s="113">
        <f t="shared" si="9"/>
        <v>0.99965470245449717</v>
      </c>
      <c r="O39" s="70">
        <f t="shared" si="10"/>
        <v>143506.51813920384</v>
      </c>
      <c r="P39" s="70">
        <f t="shared" si="15"/>
        <v>141954.51218566671</v>
      </c>
      <c r="Q39" s="70">
        <f t="shared" si="16"/>
        <v>145058.52409274105</v>
      </c>
      <c r="S39" s="57">
        <v>2.5299999999999998</v>
      </c>
      <c r="T39" s="57">
        <v>6.15</v>
      </c>
      <c r="AA39" s="197"/>
    </row>
    <row r="40" spans="1:27" ht="15" x14ac:dyDescent="0.3">
      <c r="A40" s="60">
        <v>44476</v>
      </c>
      <c r="B40" s="60">
        <v>44788</v>
      </c>
      <c r="C40" s="54">
        <f t="shared" si="1"/>
        <v>97908.7</v>
      </c>
      <c r="D40" s="54">
        <f t="shared" si="13"/>
        <v>97890.880000000005</v>
      </c>
      <c r="E40" s="54">
        <f t="shared" si="7"/>
        <v>97857.111668813974</v>
      </c>
      <c r="F40" s="115">
        <f t="shared" si="2"/>
        <v>76.489999999999995</v>
      </c>
      <c r="G40" s="51">
        <f>NETWORKDAYS(A40,B40-1,Feriados!$A$2:$A$2000)</f>
        <v>214</v>
      </c>
      <c r="H40" s="121">
        <v>2.52</v>
      </c>
      <c r="I40" s="57">
        <v>6.15</v>
      </c>
      <c r="J40" s="53">
        <f t="shared" si="14"/>
        <v>1.00023686535833</v>
      </c>
      <c r="K40" s="117">
        <f>ROUND(VLOOKUP(A40,'VNA e PRT'!B:G,6,FALSE),2)</f>
        <v>5931.03</v>
      </c>
      <c r="L40" s="117">
        <f>ROUND(VLOOKUP(A40,'VNA e PRT'!B:G,3,FALSE),2)</f>
        <v>1.23</v>
      </c>
      <c r="M40" s="113">
        <f t="shared" si="8"/>
        <v>1.0005820250422599</v>
      </c>
      <c r="N40" s="113">
        <f t="shared" si="9"/>
        <v>0.99965504109079384</v>
      </c>
      <c r="O40" s="70">
        <f t="shared" si="10"/>
        <v>143540.50986204558</v>
      </c>
      <c r="P40" s="70">
        <f t="shared" si="15"/>
        <v>141911.64629206213</v>
      </c>
      <c r="Q40" s="70">
        <f t="shared" si="16"/>
        <v>145169.3734320291</v>
      </c>
      <c r="S40" s="57">
        <v>2.52</v>
      </c>
      <c r="T40" s="57">
        <v>6.15</v>
      </c>
      <c r="AA40" s="197"/>
    </row>
    <row r="41" spans="1:27" ht="15" x14ac:dyDescent="0.3">
      <c r="A41" s="60">
        <v>44477</v>
      </c>
      <c r="B41" s="60">
        <v>44788</v>
      </c>
      <c r="C41" s="54">
        <f t="shared" si="1"/>
        <v>97966.83</v>
      </c>
      <c r="D41" s="54">
        <f t="shared" si="13"/>
        <v>97908.7</v>
      </c>
      <c r="E41" s="54">
        <f t="shared" si="7"/>
        <v>97929.744694328983</v>
      </c>
      <c r="F41" s="115">
        <f t="shared" si="2"/>
        <v>54.98</v>
      </c>
      <c r="G41" s="51">
        <f>NETWORKDAYS(A41,B41-1,Feriados!$A$2:$A$2000)</f>
        <v>213</v>
      </c>
      <c r="H41" s="121">
        <v>2.46</v>
      </c>
      <c r="I41" s="57">
        <v>6.15</v>
      </c>
      <c r="J41" s="53">
        <f t="shared" si="14"/>
        <v>1.00023686535833</v>
      </c>
      <c r="K41" s="117">
        <f>ROUND(VLOOKUP(A41,'VNA e PRT'!B:G,6,FALSE),2)</f>
        <v>5931.16</v>
      </c>
      <c r="L41" s="117">
        <f>ROUND(VLOOKUP(A41,'VNA e PRT'!B:G,3,FALSE),2)</f>
        <v>1.1599999999999999</v>
      </c>
      <c r="M41" s="113">
        <f t="shared" si="8"/>
        <v>1.00002191862122</v>
      </c>
      <c r="N41" s="113">
        <f t="shared" si="9"/>
        <v>1.000214942025877</v>
      </c>
      <c r="O41" s="70">
        <f t="shared" si="10"/>
        <v>143574.50963634893</v>
      </c>
      <c r="P41" s="70">
        <f t="shared" si="15"/>
        <v>141890.28024501228</v>
      </c>
      <c r="Q41" s="70">
        <f t="shared" si="16"/>
        <v>145258.73902768563</v>
      </c>
      <c r="S41" s="57">
        <v>2.46</v>
      </c>
      <c r="T41" s="57">
        <v>6.15</v>
      </c>
      <c r="AA41" s="197"/>
    </row>
    <row r="42" spans="1:27" ht="15" x14ac:dyDescent="0.3">
      <c r="A42" s="60">
        <v>44480</v>
      </c>
      <c r="B42" s="60">
        <v>44788</v>
      </c>
      <c r="C42" s="54">
        <f t="shared" si="1"/>
        <v>97903.94</v>
      </c>
      <c r="D42" s="54">
        <f t="shared" si="13"/>
        <v>97966.83</v>
      </c>
      <c r="E42" s="54">
        <f t="shared" si="7"/>
        <v>97936.205338334083</v>
      </c>
      <c r="F42" s="115">
        <f t="shared" si="2"/>
        <v>-47.86</v>
      </c>
      <c r="G42" s="51">
        <f>NETWORKDAYS(A42,B42-1,Feriados!$A$2:$A$2000)</f>
        <v>212</v>
      </c>
      <c r="H42" s="121">
        <v>2.5499999999999998</v>
      </c>
      <c r="I42" s="57">
        <v>6.15</v>
      </c>
      <c r="J42" s="53">
        <f t="shared" si="14"/>
        <v>1.00023686535833</v>
      </c>
      <c r="K42" s="117">
        <f>ROUND(VLOOKUP(A42,'VNA e PRT'!B:G,6,FALSE),2)</f>
        <v>5934.42</v>
      </c>
      <c r="L42" s="117">
        <f>ROUND(VLOOKUP(A42,'VNA e PRT'!B:G,3,FALSE),2)</f>
        <v>1.1599999999999999</v>
      </c>
      <c r="M42" s="113">
        <f t="shared" si="8"/>
        <v>1.0005496395308799</v>
      </c>
      <c r="N42" s="113">
        <f t="shared" si="9"/>
        <v>0.99968739764606118</v>
      </c>
      <c r="O42" s="70">
        <f t="shared" si="10"/>
        <v>143608.51746402099</v>
      </c>
      <c r="P42" s="70">
        <f t="shared" si="15"/>
        <v>141971.74913708604</v>
      </c>
      <c r="Q42" s="70">
        <f t="shared" si="16"/>
        <v>145245.285790956</v>
      </c>
      <c r="S42" s="57">
        <v>2.5499999999999998</v>
      </c>
      <c r="T42" s="57">
        <v>6.15</v>
      </c>
      <c r="AA42" s="197"/>
    </row>
    <row r="43" spans="1:27" ht="15" x14ac:dyDescent="0.3">
      <c r="A43" s="60">
        <v>44482</v>
      </c>
      <c r="B43" s="60">
        <v>44788</v>
      </c>
      <c r="C43" s="54">
        <f t="shared" si="1"/>
        <v>97857.79</v>
      </c>
      <c r="D43" s="54">
        <f t="shared" si="13"/>
        <v>97903.94</v>
      </c>
      <c r="E43" s="54">
        <f t="shared" si="7"/>
        <v>97873.36453331598</v>
      </c>
      <c r="F43" s="115">
        <f t="shared" si="2"/>
        <v>-23.11</v>
      </c>
      <c r="G43" s="51">
        <f>NETWORKDAYS(A43,B43-1,Feriados!$A$2:$A$2000)</f>
        <v>211</v>
      </c>
      <c r="H43" s="121">
        <v>2.62</v>
      </c>
      <c r="I43" s="57">
        <v>6.15</v>
      </c>
      <c r="J43" s="53">
        <f t="shared" si="14"/>
        <v>1.00023686535833</v>
      </c>
      <c r="K43" s="117">
        <f>ROUND(VLOOKUP(A43,'VNA e PRT'!B:G,6,FALSE),2)</f>
        <v>5937.68</v>
      </c>
      <c r="L43" s="117">
        <f>ROUND(VLOOKUP(A43,'VNA e PRT'!B:G,3,FALSE),2)</f>
        <v>1.1599999999999999</v>
      </c>
      <c r="M43" s="113">
        <f t="shared" si="8"/>
        <v>1.0005493375932299</v>
      </c>
      <c r="N43" s="113">
        <f t="shared" si="9"/>
        <v>0.99968769932360202</v>
      </c>
      <c r="O43" s="70">
        <f t="shared" si="10"/>
        <v>143642.53334696934</v>
      </c>
      <c r="P43" s="70">
        <f t="shared" si="15"/>
        <v>142028.48732631811</v>
      </c>
      <c r="Q43" s="70">
        <f t="shared" si="16"/>
        <v>145256.57936762064</v>
      </c>
      <c r="S43" s="57">
        <v>2.62</v>
      </c>
      <c r="T43" s="57">
        <v>6.15</v>
      </c>
      <c r="AA43" s="197"/>
    </row>
    <row r="44" spans="1:27" ht="15" x14ac:dyDescent="0.3">
      <c r="A44" s="60">
        <v>44483</v>
      </c>
      <c r="B44" s="60">
        <v>44788</v>
      </c>
      <c r="C44" s="54">
        <f t="shared" si="1"/>
        <v>97685.42</v>
      </c>
      <c r="D44" s="54">
        <f t="shared" si="13"/>
        <v>97857.79</v>
      </c>
      <c r="E44" s="54">
        <f t="shared" si="7"/>
        <v>97827.258435091571</v>
      </c>
      <c r="F44" s="115">
        <f t="shared" si="2"/>
        <v>-210.66</v>
      </c>
      <c r="G44" s="51">
        <f>NETWORKDAYS(A44,B44-1,Feriados!$A$2:$A$2000)</f>
        <v>210</v>
      </c>
      <c r="H44" s="121">
        <v>2.85</v>
      </c>
      <c r="I44" s="57">
        <v>6.15</v>
      </c>
      <c r="J44" s="53">
        <f t="shared" si="14"/>
        <v>1.00023686535833</v>
      </c>
      <c r="K44" s="117">
        <f>ROUND(VLOOKUP(A44,'VNA e PRT'!B:G,6,FALSE),2)</f>
        <v>5940.94</v>
      </c>
      <c r="L44" s="117">
        <f>ROUND(VLOOKUP(A44,'VNA e PRT'!B:G,3,FALSE),2)</f>
        <v>1.1599999999999999</v>
      </c>
      <c r="M44" s="113">
        <f t="shared" si="8"/>
        <v>1.0005490359871201</v>
      </c>
      <c r="N44" s="113">
        <f t="shared" si="9"/>
        <v>0.99968800067007002</v>
      </c>
      <c r="O44" s="70">
        <f t="shared" si="10"/>
        <v>143676.55728710201</v>
      </c>
      <c r="P44" s="70">
        <f t="shared" si="15"/>
        <v>142272.78895486172</v>
      </c>
      <c r="Q44" s="70">
        <f t="shared" si="16"/>
        <v>145080.32561934233</v>
      </c>
      <c r="S44" s="57">
        <v>2.85</v>
      </c>
      <c r="T44" s="57">
        <v>6.15</v>
      </c>
      <c r="AA44" s="197"/>
    </row>
    <row r="45" spans="1:27" ht="15" x14ac:dyDescent="0.3">
      <c r="A45" s="60">
        <v>44484</v>
      </c>
      <c r="B45" s="60">
        <v>44788</v>
      </c>
      <c r="C45" s="54">
        <f t="shared" si="1"/>
        <v>97491.96</v>
      </c>
      <c r="D45" s="54">
        <f t="shared" si="13"/>
        <v>97685.42</v>
      </c>
      <c r="E45" s="54">
        <f t="shared" si="7"/>
        <v>97654.807333412566</v>
      </c>
      <c r="F45" s="115">
        <f t="shared" si="2"/>
        <v>-241.99</v>
      </c>
      <c r="G45" s="51">
        <f>NETWORKDAYS(A45,B45-1,Feriados!$A$2:$A$2000)</f>
        <v>209</v>
      </c>
      <c r="H45" s="121">
        <v>3.11</v>
      </c>
      <c r="I45" s="57">
        <v>6.15</v>
      </c>
      <c r="J45" s="53">
        <f t="shared" si="14"/>
        <v>1.00023686535833</v>
      </c>
      <c r="K45" s="117">
        <f>ROUND(VLOOKUP(A45,'VNA e PRT'!B:G,6,FALSE),2)</f>
        <v>5944.21</v>
      </c>
      <c r="L45" s="117">
        <f>ROUND(VLOOKUP(A45,'VNA e PRT'!B:G,3,FALSE),2)</f>
        <v>1.1599999999999999</v>
      </c>
      <c r="M45" s="113">
        <f t="shared" si="8"/>
        <v>1.0005504179473299</v>
      </c>
      <c r="N45" s="113">
        <f t="shared" si="9"/>
        <v>0.99968661990103092</v>
      </c>
      <c r="O45" s="70">
        <f t="shared" si="10"/>
        <v>143710.58928632745</v>
      </c>
      <c r="P45" s="70">
        <f t="shared" si="15"/>
        <v>142548.4784499981</v>
      </c>
      <c r="Q45" s="70">
        <f t="shared" si="16"/>
        <v>144872.7001226568</v>
      </c>
      <c r="S45" s="57">
        <v>3.11</v>
      </c>
      <c r="T45" s="57">
        <v>6.15</v>
      </c>
      <c r="AA45" s="197"/>
    </row>
    <row r="46" spans="1:27" ht="15" x14ac:dyDescent="0.3">
      <c r="A46" s="60">
        <v>44487</v>
      </c>
      <c r="B46" s="60">
        <v>44788</v>
      </c>
      <c r="C46" s="54">
        <f t="shared" si="1"/>
        <v>97566.29</v>
      </c>
      <c r="D46" s="54">
        <f t="shared" si="13"/>
        <v>97491.96</v>
      </c>
      <c r="E46" s="54">
        <f t="shared" si="7"/>
        <v>97481.10583945729</v>
      </c>
      <c r="F46" s="115">
        <f t="shared" si="2"/>
        <v>126.63</v>
      </c>
      <c r="G46" s="51">
        <f>NETWORKDAYS(A46,B46-1,Feriados!$A$2:$A$2000)</f>
        <v>208</v>
      </c>
      <c r="H46" s="121">
        <v>3.03</v>
      </c>
      <c r="I46" s="57">
        <v>6.15</v>
      </c>
      <c r="J46" s="53">
        <f t="shared" si="14"/>
        <v>1.00023686535833</v>
      </c>
      <c r="K46" s="117">
        <f>ROUND(VLOOKUP(A46,'VNA e PRT'!B:G,6,FALSE),2)</f>
        <v>5946.28</v>
      </c>
      <c r="L46" s="117">
        <f>ROUND(VLOOKUP(A46,'VNA e PRT'!B:G,3,FALSE),2)</f>
        <v>0.7</v>
      </c>
      <c r="M46" s="113">
        <f t="shared" si="8"/>
        <v>1.00034823803331</v>
      </c>
      <c r="N46" s="113">
        <f t="shared" si="9"/>
        <v>0.99988866609571991</v>
      </c>
      <c r="O46" s="70">
        <f t="shared" si="10"/>
        <v>143744.62934655458</v>
      </c>
      <c r="P46" s="70">
        <f t="shared" si="15"/>
        <v>142455.61324642555</v>
      </c>
      <c r="Q46" s="70">
        <f t="shared" si="16"/>
        <v>145033.6454466836</v>
      </c>
      <c r="S46" s="57">
        <v>3.03</v>
      </c>
      <c r="T46" s="57">
        <v>6.15</v>
      </c>
      <c r="AA46" s="197"/>
    </row>
    <row r="47" spans="1:27" ht="15" x14ac:dyDescent="0.3">
      <c r="A47" s="60">
        <v>44488</v>
      </c>
      <c r="B47" s="60">
        <v>44788</v>
      </c>
      <c r="C47" s="54">
        <f t="shared" si="1"/>
        <v>97469.07</v>
      </c>
      <c r="D47" s="54">
        <f t="shared" si="13"/>
        <v>97566.29</v>
      </c>
      <c r="E47" s="54">
        <f t="shared" si="7"/>
        <v>97555.439386294209</v>
      </c>
      <c r="F47" s="115">
        <f t="shared" si="2"/>
        <v>-128.43</v>
      </c>
      <c r="G47" s="51">
        <f>NETWORKDAYS(A47,B47-1,Feriados!$A$2:$A$2000)</f>
        <v>207</v>
      </c>
      <c r="H47" s="121">
        <v>3.17</v>
      </c>
      <c r="I47" s="57">
        <v>6.15</v>
      </c>
      <c r="J47" s="53">
        <f t="shared" si="14"/>
        <v>1.00023686535833</v>
      </c>
      <c r="K47" s="117">
        <f>ROUND(VLOOKUP(A47,'VNA e PRT'!B:G,6,FALSE),2)</f>
        <v>5948.35</v>
      </c>
      <c r="L47" s="117">
        <f>ROUND(VLOOKUP(A47,'VNA e PRT'!B:G,3,FALSE),2)</f>
        <v>0.7</v>
      </c>
      <c r="M47" s="113">
        <f t="shared" si="8"/>
        <v>1.0003481168057999</v>
      </c>
      <c r="N47" s="113">
        <f t="shared" si="9"/>
        <v>0.99988878726755126</v>
      </c>
      <c r="O47" s="70">
        <f t="shared" si="10"/>
        <v>143778.67746969278</v>
      </c>
      <c r="P47" s="70">
        <f t="shared" si="15"/>
        <v>142617.78604630328</v>
      </c>
      <c r="Q47" s="70">
        <f t="shared" si="16"/>
        <v>144939.56889308224</v>
      </c>
      <c r="S47" s="57">
        <v>3.17</v>
      </c>
      <c r="T47" s="57">
        <v>6.15</v>
      </c>
      <c r="AA47" s="197"/>
    </row>
    <row r="48" spans="1:27" ht="15" x14ac:dyDescent="0.3">
      <c r="A48" s="60">
        <v>44489</v>
      </c>
      <c r="B48" s="60">
        <v>44788</v>
      </c>
      <c r="C48" s="54">
        <f t="shared" si="1"/>
        <v>97434.82</v>
      </c>
      <c r="D48" s="54">
        <f t="shared" si="13"/>
        <v>97469.07</v>
      </c>
      <c r="E48" s="54">
        <f t="shared" si="7"/>
        <v>97458.078217156406</v>
      </c>
      <c r="F48" s="115">
        <f t="shared" si="2"/>
        <v>-34.590000000000003</v>
      </c>
      <c r="G48" s="51">
        <f>NETWORKDAYS(A48,B48-1,Feriados!$A$2:$A$2000)</f>
        <v>206</v>
      </c>
      <c r="H48" s="121">
        <v>3.23</v>
      </c>
      <c r="I48" s="57">
        <v>6.15</v>
      </c>
      <c r="J48" s="53">
        <f t="shared" si="14"/>
        <v>1.00023686535833</v>
      </c>
      <c r="K48" s="117">
        <f>ROUND(VLOOKUP(A48,'VNA e PRT'!B:G,6,FALSE),2)</f>
        <v>5950.43</v>
      </c>
      <c r="L48" s="117">
        <f>ROUND(VLOOKUP(A48,'VNA e PRT'!B:G,3,FALSE),2)</f>
        <v>0.7</v>
      </c>
      <c r="M48" s="113">
        <f t="shared" si="8"/>
        <v>1.00034967680113</v>
      </c>
      <c r="N48" s="113">
        <f t="shared" si="9"/>
        <v>0.99988722799095542</v>
      </c>
      <c r="O48" s="70">
        <f t="shared" si="10"/>
        <v>143812.73365765184</v>
      </c>
      <c r="P48" s="70">
        <f t="shared" si="15"/>
        <v>142686.15725929936</v>
      </c>
      <c r="Q48" s="70">
        <f t="shared" si="16"/>
        <v>144939.31005600429</v>
      </c>
      <c r="S48" s="57">
        <v>3.23</v>
      </c>
      <c r="T48" s="57">
        <v>6.15</v>
      </c>
      <c r="AA48" s="197"/>
    </row>
    <row r="49" spans="1:27" ht="15" x14ac:dyDescent="0.3">
      <c r="A49" s="60">
        <v>44490</v>
      </c>
      <c r="B49" s="60">
        <v>44788</v>
      </c>
      <c r="C49" s="54">
        <f t="shared" si="1"/>
        <v>97148.65</v>
      </c>
      <c r="D49" s="54">
        <f t="shared" si="13"/>
        <v>97434.82</v>
      </c>
      <c r="E49" s="54">
        <f t="shared" si="7"/>
        <v>97424.007652445478</v>
      </c>
      <c r="F49" s="115">
        <f t="shared" si="2"/>
        <v>-409.76</v>
      </c>
      <c r="G49" s="51">
        <f>NETWORKDAYS(A49,B49-1,Feriados!$A$2:$A$2000)</f>
        <v>205</v>
      </c>
      <c r="H49" s="121">
        <v>3.62</v>
      </c>
      <c r="I49" s="57">
        <v>6.15</v>
      </c>
      <c r="J49" s="53">
        <f t="shared" si="14"/>
        <v>1.00023686535833</v>
      </c>
      <c r="K49" s="117">
        <f>ROUND(VLOOKUP(A49,'VNA e PRT'!B:G,6,FALSE),2)</f>
        <v>5952.5</v>
      </c>
      <c r="L49" s="117">
        <f>ROUND(VLOOKUP(A49,'VNA e PRT'!B:G,3,FALSE),2)</f>
        <v>0.7</v>
      </c>
      <c r="M49" s="113">
        <f t="shared" si="8"/>
        <v>1.00034787401919</v>
      </c>
      <c r="N49" s="113">
        <f t="shared" si="9"/>
        <v>0.99988902994273987</v>
      </c>
      <c r="O49" s="70">
        <f t="shared" si="10"/>
        <v>143846.79791234207</v>
      </c>
      <c r="P49" s="70">
        <f t="shared" si="15"/>
        <v>143129.71466706734</v>
      </c>
      <c r="Q49" s="70">
        <f t="shared" si="16"/>
        <v>144563.88115761679</v>
      </c>
      <c r="S49" s="57">
        <v>3.62</v>
      </c>
      <c r="T49" s="57">
        <v>6.15</v>
      </c>
      <c r="AA49" s="197"/>
    </row>
    <row r="50" spans="1:27" ht="15" x14ac:dyDescent="0.3">
      <c r="A50" s="60">
        <v>44491</v>
      </c>
      <c r="B50" s="60">
        <v>44788</v>
      </c>
      <c r="C50" s="54">
        <f t="shared" si="1"/>
        <v>96973</v>
      </c>
      <c r="D50" s="54">
        <f t="shared" si="13"/>
        <v>97148.65</v>
      </c>
      <c r="E50" s="54">
        <f t="shared" si="7"/>
        <v>97137.718024469534</v>
      </c>
      <c r="F50" s="115">
        <f t="shared" si="2"/>
        <v>-245.2</v>
      </c>
      <c r="G50" s="51">
        <f>NETWORKDAYS(A50,B50-1,Feriados!$A$2:$A$2000)</f>
        <v>204</v>
      </c>
      <c r="H50" s="121">
        <v>3.87</v>
      </c>
      <c r="I50" s="57">
        <v>6.15</v>
      </c>
      <c r="J50" s="53">
        <f t="shared" si="14"/>
        <v>1.00023686535833</v>
      </c>
      <c r="K50" s="117">
        <f>ROUND(VLOOKUP(A50,'VNA e PRT'!B:G,6,FALSE),2)</f>
        <v>5954.58</v>
      </c>
      <c r="L50" s="117">
        <f>ROUND(VLOOKUP(A50,'VNA e PRT'!B:G,3,FALSE),2)</f>
        <v>0.7</v>
      </c>
      <c r="M50" s="113">
        <f t="shared" si="8"/>
        <v>1.0003494330113401</v>
      </c>
      <c r="N50" s="113">
        <f t="shared" si="9"/>
        <v>0.99988747166810388</v>
      </c>
      <c r="O50" s="70">
        <f t="shared" si="10"/>
        <v>143880.8702356742</v>
      </c>
      <c r="P50" s="70">
        <f t="shared" si="15"/>
        <v>143408.81713821963</v>
      </c>
      <c r="Q50" s="70">
        <f t="shared" si="16"/>
        <v>144352.92333312877</v>
      </c>
      <c r="S50" s="57">
        <v>3.87</v>
      </c>
      <c r="T50" s="57">
        <v>6.15</v>
      </c>
      <c r="AA50" s="197"/>
    </row>
    <row r="51" spans="1:27" ht="15" x14ac:dyDescent="0.3">
      <c r="A51" s="60">
        <v>44494</v>
      </c>
      <c r="B51" s="60">
        <v>44788</v>
      </c>
      <c r="C51" s="54">
        <f t="shared" si="1"/>
        <v>96665.38</v>
      </c>
      <c r="D51" s="54">
        <f t="shared" si="13"/>
        <v>96973</v>
      </c>
      <c r="E51" s="54">
        <f t="shared" si="7"/>
        <v>96962.099621206376</v>
      </c>
      <c r="F51" s="115">
        <f t="shared" si="2"/>
        <v>-441.86</v>
      </c>
      <c r="G51" s="51">
        <f>NETWORKDAYS(A51,B51-1,Feriados!$A$2:$A$2000)</f>
        <v>203</v>
      </c>
      <c r="H51" s="121">
        <v>4.3</v>
      </c>
      <c r="I51" s="57">
        <v>6.15</v>
      </c>
      <c r="J51" s="53">
        <f t="shared" si="14"/>
        <v>1.00023686535833</v>
      </c>
      <c r="K51" s="117">
        <f>ROUND(VLOOKUP(A51,'VNA e PRT'!B:G,6,FALSE),2)</f>
        <v>5956.66</v>
      </c>
      <c r="L51" s="117">
        <f>ROUND(VLOOKUP(A51,'VNA e PRT'!B:G,3,FALSE),2)</f>
        <v>0.7</v>
      </c>
      <c r="M51" s="113">
        <f t="shared" si="8"/>
        <v>1.0003493109505599</v>
      </c>
      <c r="N51" s="113">
        <f t="shared" si="9"/>
        <v>0.99988759367253122</v>
      </c>
      <c r="O51" s="70">
        <f t="shared" si="10"/>
        <v>143914.9506295594</v>
      </c>
      <c r="P51" s="70">
        <f t="shared" si="15"/>
        <v>143884.64571907875</v>
      </c>
      <c r="Q51" s="70">
        <f t="shared" si="16"/>
        <v>143945.25554004006</v>
      </c>
      <c r="S51" s="57">
        <v>4.3</v>
      </c>
      <c r="T51" s="57">
        <v>6.15</v>
      </c>
      <c r="AA51" s="197"/>
    </row>
    <row r="52" spans="1:27" ht="15" x14ac:dyDescent="0.3">
      <c r="A52" s="60">
        <v>44495</v>
      </c>
      <c r="B52" s="60">
        <v>44788</v>
      </c>
      <c r="C52" s="54">
        <f t="shared" si="1"/>
        <v>96815.49</v>
      </c>
      <c r="D52" s="54">
        <f t="shared" si="13"/>
        <v>96665.38</v>
      </c>
      <c r="E52" s="54">
        <f t="shared" si="7"/>
        <v>96654.525985011103</v>
      </c>
      <c r="F52" s="115">
        <f t="shared" si="2"/>
        <v>239.78</v>
      </c>
      <c r="G52" s="51">
        <f>NETWORKDAYS(A52,B52-1,Feriados!$A$2:$A$2000)</f>
        <v>202</v>
      </c>
      <c r="H52" s="121">
        <v>4.12</v>
      </c>
      <c r="I52" s="57">
        <v>6.15</v>
      </c>
      <c r="J52" s="53">
        <f t="shared" si="14"/>
        <v>1.00023686535833</v>
      </c>
      <c r="K52" s="117">
        <f>ROUND(VLOOKUP(A52,'VNA e PRT'!B:G,6,FALSE),2)</f>
        <v>5958.74</v>
      </c>
      <c r="L52" s="117">
        <f>ROUND(VLOOKUP(A52,'VNA e PRT'!B:G,3,FALSE),2)</f>
        <v>0.7</v>
      </c>
      <c r="M52" s="113">
        <f t="shared" si="8"/>
        <v>1.00034918897503</v>
      </c>
      <c r="N52" s="113">
        <f t="shared" si="9"/>
        <v>0.99988771559177747</v>
      </c>
      <c r="O52" s="70">
        <f t="shared" si="10"/>
        <v>143949.03909590931</v>
      </c>
      <c r="P52" s="70">
        <f t="shared" si="15"/>
        <v>143678.94700724518</v>
      </c>
      <c r="Q52" s="70">
        <f t="shared" si="16"/>
        <v>144219.13118457346</v>
      </c>
      <c r="S52" s="57">
        <v>4.12</v>
      </c>
      <c r="T52" s="57">
        <v>6.15</v>
      </c>
      <c r="AA52" s="197"/>
    </row>
    <row r="53" spans="1:27" ht="15" x14ac:dyDescent="0.3">
      <c r="A53" s="60">
        <v>44496</v>
      </c>
      <c r="B53" s="60">
        <v>44788</v>
      </c>
      <c r="C53" s="54">
        <f t="shared" si="1"/>
        <v>96638.57</v>
      </c>
      <c r="D53" s="54">
        <f t="shared" si="13"/>
        <v>96815.49</v>
      </c>
      <c r="E53" s="54">
        <f t="shared" si="7"/>
        <v>96678.123270192591</v>
      </c>
      <c r="F53" s="115">
        <f t="shared" si="2"/>
        <v>-59.01</v>
      </c>
      <c r="G53" s="51">
        <f>NETWORKDAYS(A53,B53-1,Feriados!$A$2:$A$2000)</f>
        <v>201</v>
      </c>
      <c r="H53" s="121">
        <v>4.38</v>
      </c>
      <c r="I53" s="57">
        <v>6.15</v>
      </c>
      <c r="J53" s="53">
        <f t="shared" si="14"/>
        <v>1.00023686535833</v>
      </c>
      <c r="K53" s="117">
        <f>ROUND(VLOOKUP(A53,'VNA e PRT'!B:G,6,FALSE),2)</f>
        <v>5968.62</v>
      </c>
      <c r="L53" s="117">
        <f>ROUND(VLOOKUP(A53,'VNA e PRT'!B:G,3,FALSE),2)</f>
        <v>1.03</v>
      </c>
      <c r="M53" s="113">
        <f t="shared" si="8"/>
        <v>1.0016580686520999</v>
      </c>
      <c r="N53" s="113">
        <f t="shared" si="9"/>
        <v>0.9985811492581671</v>
      </c>
      <c r="O53" s="70">
        <f t="shared" si="10"/>
        <v>143983.13563663603</v>
      </c>
      <c r="P53" s="70">
        <f t="shared" si="15"/>
        <v>143771.98957251254</v>
      </c>
      <c r="Q53" s="70">
        <f t="shared" si="16"/>
        <v>144194.28170075951</v>
      </c>
      <c r="S53" s="57">
        <v>4.38</v>
      </c>
      <c r="T53" s="57">
        <v>6.15</v>
      </c>
      <c r="AA53" s="197"/>
    </row>
    <row r="54" spans="1:27" ht="15" x14ac:dyDescent="0.3">
      <c r="A54" s="60">
        <v>44497</v>
      </c>
      <c r="B54" s="60">
        <v>44788</v>
      </c>
      <c r="C54" s="54">
        <f t="shared" si="1"/>
        <v>96332.87</v>
      </c>
      <c r="D54" s="54">
        <f t="shared" si="13"/>
        <v>96638.57</v>
      </c>
      <c r="E54" s="54">
        <f t="shared" si="7"/>
        <v>96611.929197801917</v>
      </c>
      <c r="F54" s="115">
        <f t="shared" si="2"/>
        <v>-416.61</v>
      </c>
      <c r="G54" s="51">
        <f>NETWORKDAYS(A54,B54-1,Feriados!$A$2:$A$2000)</f>
        <v>200</v>
      </c>
      <c r="H54" s="121">
        <v>4.82</v>
      </c>
      <c r="I54" s="57">
        <v>6.15</v>
      </c>
      <c r="J54" s="53">
        <f t="shared" si="14"/>
        <v>1.00023686535833</v>
      </c>
      <c r="K54" s="117">
        <f>ROUND(VLOOKUP(A54,'VNA e PRT'!B:G,6,FALSE),2)</f>
        <v>5971.68</v>
      </c>
      <c r="L54" s="117">
        <f>ROUND(VLOOKUP(A54,'VNA e PRT'!B:G,3,FALSE),2)</f>
        <v>1.03</v>
      </c>
      <c r="M54" s="113">
        <f t="shared" si="8"/>
        <v>1.0005126813233201</v>
      </c>
      <c r="N54" s="113">
        <f t="shared" si="9"/>
        <v>0.99972432536824496</v>
      </c>
      <c r="O54" s="70">
        <f t="shared" si="10"/>
        <v>144017.24025365207</v>
      </c>
      <c r="P54" s="70">
        <f t="shared" si="15"/>
        <v>144222.65417634044</v>
      </c>
      <c r="Q54" s="70">
        <f t="shared" si="16"/>
        <v>143811.82633096373</v>
      </c>
      <c r="S54" s="57">
        <v>4.82</v>
      </c>
      <c r="T54" s="57">
        <v>6.15</v>
      </c>
      <c r="AA54" s="197"/>
    </row>
    <row r="55" spans="1:27" ht="15" x14ac:dyDescent="0.3">
      <c r="A55" s="60">
        <v>44498</v>
      </c>
      <c r="B55" s="60">
        <v>44788</v>
      </c>
      <c r="C55" s="54">
        <f t="shared" si="1"/>
        <v>96576.48</v>
      </c>
      <c r="D55" s="54">
        <f t="shared" si="13"/>
        <v>96332.87</v>
      </c>
      <c r="E55" s="54">
        <f t="shared" si="7"/>
        <v>96311.701503427947</v>
      </c>
      <c r="F55" s="115">
        <f t="shared" si="2"/>
        <v>395.49</v>
      </c>
      <c r="G55" s="51">
        <f>NETWORKDAYS(A55,B55-1,Feriados!$A$2:$A$2000)</f>
        <v>199</v>
      </c>
      <c r="H55" s="121">
        <v>4.51</v>
      </c>
      <c r="I55" s="57">
        <v>7.65</v>
      </c>
      <c r="J55" s="53">
        <f t="shared" si="14"/>
        <v>1.0002925627795001</v>
      </c>
      <c r="K55" s="117">
        <f>ROUND(VLOOKUP(A55,'VNA e PRT'!B:G,6,FALSE),2)</f>
        <v>5974.74</v>
      </c>
      <c r="L55" s="117">
        <f>ROUND(VLOOKUP(A55,'VNA e PRT'!B:G,3,FALSE),2)</f>
        <v>1.03</v>
      </c>
      <c r="M55" s="113">
        <f t="shared" si="8"/>
        <v>1.00051241861587</v>
      </c>
      <c r="N55" s="113">
        <f t="shared" si="9"/>
        <v>0.99978025676415483</v>
      </c>
      <c r="O55" s="70">
        <f t="shared" si="10"/>
        <v>144051.35294887045</v>
      </c>
      <c r="P55" s="70">
        <f t="shared" si="15"/>
        <v>143861.32552700123</v>
      </c>
      <c r="Q55" s="70">
        <f t="shared" si="16"/>
        <v>144241.3803707397</v>
      </c>
      <c r="S55" s="57">
        <v>4.51</v>
      </c>
      <c r="T55" s="57">
        <v>7.65</v>
      </c>
      <c r="AA55" s="197"/>
    </row>
    <row r="56" spans="1:27" ht="15" x14ac:dyDescent="0.3">
      <c r="A56" s="60">
        <v>44501</v>
      </c>
      <c r="B56" s="60">
        <v>44788</v>
      </c>
      <c r="C56" s="54">
        <f t="shared" si="1"/>
        <v>96318.33</v>
      </c>
      <c r="D56" s="54">
        <f t="shared" si="13"/>
        <v>96576.48</v>
      </c>
      <c r="E56" s="54">
        <f t="shared" si="7"/>
        <v>96555.283298610506</v>
      </c>
      <c r="F56" s="115">
        <f t="shared" si="2"/>
        <v>-354.11</v>
      </c>
      <c r="G56" s="51">
        <f>NETWORKDAYS(A56,B56-1,Feriados!$A$2:$A$2000)</f>
        <v>198</v>
      </c>
      <c r="H56" s="121">
        <v>4.8899999999999997</v>
      </c>
      <c r="I56" s="57">
        <v>7.65</v>
      </c>
      <c r="J56" s="53">
        <f t="shared" si="14"/>
        <v>1.0002925627795001</v>
      </c>
      <c r="K56" s="117">
        <f>ROUND(VLOOKUP(A56,'VNA e PRT'!B:G,6,FALSE),2)</f>
        <v>5977.8</v>
      </c>
      <c r="L56" s="117">
        <f>ROUND(VLOOKUP(A56,'VNA e PRT'!B:G,3,FALSE),2)</f>
        <v>1.03</v>
      </c>
      <c r="M56" s="113">
        <f t="shared" si="8"/>
        <v>1.0005121561775101</v>
      </c>
      <c r="N56" s="113">
        <f t="shared" si="9"/>
        <v>0.99978051901053455</v>
      </c>
      <c r="O56" s="70">
        <f t="shared" si="10"/>
        <v>144093.4970130799</v>
      </c>
      <c r="P56" s="70">
        <f t="shared" si="15"/>
        <v>144257.52399625996</v>
      </c>
      <c r="Q56" s="70">
        <f t="shared" si="16"/>
        <v>143929.47002989991</v>
      </c>
      <c r="S56" s="57">
        <v>4.8899999999999997</v>
      </c>
      <c r="T56" s="57">
        <v>7.65</v>
      </c>
      <c r="AA56" s="197"/>
    </row>
    <row r="57" spans="1:27" ht="15" x14ac:dyDescent="0.3">
      <c r="A57" s="60">
        <v>44503</v>
      </c>
      <c r="B57" s="60">
        <v>44788</v>
      </c>
      <c r="C57" s="54">
        <f t="shared" si="1"/>
        <v>96401.25</v>
      </c>
      <c r="D57" s="54">
        <f t="shared" si="13"/>
        <v>96318.33</v>
      </c>
      <c r="E57" s="54">
        <f t="shared" si="7"/>
        <v>96297.054182207052</v>
      </c>
      <c r="F57" s="115">
        <f t="shared" si="2"/>
        <v>155.79</v>
      </c>
      <c r="G57" s="51">
        <f>NETWORKDAYS(A57,B57-1,Feriados!$A$2:$A$2000)</f>
        <v>197</v>
      </c>
      <c r="H57" s="121">
        <v>4.8</v>
      </c>
      <c r="I57" s="57">
        <v>7.65</v>
      </c>
      <c r="J57" s="53">
        <f t="shared" si="14"/>
        <v>1.0002925627795001</v>
      </c>
      <c r="K57" s="117">
        <f>ROUND(VLOOKUP(A57,'VNA e PRT'!B:G,6,FALSE),2)</f>
        <v>5980.87</v>
      </c>
      <c r="L57" s="117">
        <f>ROUND(VLOOKUP(A57,'VNA e PRT'!B:G,3,FALSE),2)</f>
        <v>1.03</v>
      </c>
      <c r="M57" s="113">
        <f t="shared" si="8"/>
        <v>1.0005135668640599</v>
      </c>
      <c r="N57" s="113">
        <f t="shared" si="9"/>
        <v>0.99977910935755476</v>
      </c>
      <c r="O57" s="70">
        <f t="shared" si="10"/>
        <v>144135.65340707393</v>
      </c>
      <c r="P57" s="70">
        <f t="shared" si="15"/>
        <v>144143.93837844409</v>
      </c>
      <c r="Q57" s="70">
        <f t="shared" si="16"/>
        <v>144127.36843570383</v>
      </c>
      <c r="S57" s="57">
        <v>4.8</v>
      </c>
      <c r="T57" s="57">
        <v>7.65</v>
      </c>
      <c r="AA57" s="197"/>
    </row>
    <row r="58" spans="1:27" ht="15" x14ac:dyDescent="0.3">
      <c r="A58" s="60">
        <v>44504</v>
      </c>
      <c r="B58" s="60">
        <v>44788</v>
      </c>
      <c r="C58" s="54">
        <f t="shared" si="1"/>
        <v>96304.85</v>
      </c>
      <c r="D58" s="54">
        <f t="shared" si="13"/>
        <v>96401.25</v>
      </c>
      <c r="E58" s="54">
        <f t="shared" si="7"/>
        <v>96380.142324860935</v>
      </c>
      <c r="F58" s="115">
        <f t="shared" si="2"/>
        <v>-112.63</v>
      </c>
      <c r="G58" s="51">
        <f>NETWORKDAYS(A58,B58-1,Feriados!$A$2:$A$2000)</f>
        <v>196</v>
      </c>
      <c r="H58" s="121">
        <v>4.96</v>
      </c>
      <c r="I58" s="57">
        <v>7.65</v>
      </c>
      <c r="J58" s="53">
        <f t="shared" si="14"/>
        <v>1.0002925627795001</v>
      </c>
      <c r="K58" s="117">
        <f>ROUND(VLOOKUP(A58,'VNA e PRT'!B:G,6,FALSE),2)</f>
        <v>5983.93</v>
      </c>
      <c r="L58" s="117">
        <f>ROUND(VLOOKUP(A58,'VNA e PRT'!B:G,3,FALSE),2)</f>
        <v>1.03</v>
      </c>
      <c r="M58" s="113">
        <f t="shared" si="8"/>
        <v>1.0005116312509701</v>
      </c>
      <c r="N58" s="113">
        <f t="shared" si="9"/>
        <v>0.99978104355349062</v>
      </c>
      <c r="O58" s="70">
        <f t="shared" si="10"/>
        <v>144177.82213445977</v>
      </c>
      <c r="P58" s="70">
        <f t="shared" si="15"/>
        <v>144298.73952970418</v>
      </c>
      <c r="Q58" s="70">
        <f t="shared" si="16"/>
        <v>144056.90473921542</v>
      </c>
      <c r="S58" s="57">
        <v>4.96</v>
      </c>
      <c r="T58" s="57">
        <v>7.65</v>
      </c>
      <c r="AA58" s="197"/>
    </row>
    <row r="59" spans="1:27" ht="15" x14ac:dyDescent="0.3">
      <c r="A59" s="60">
        <v>44505</v>
      </c>
      <c r="B59" s="60">
        <v>44788</v>
      </c>
      <c r="C59" s="54">
        <f t="shared" si="1"/>
        <v>96401.54</v>
      </c>
      <c r="D59" s="54">
        <f t="shared" si="13"/>
        <v>96304.85</v>
      </c>
      <c r="E59" s="54">
        <f t="shared" si="7"/>
        <v>96283.627788938073</v>
      </c>
      <c r="F59" s="115">
        <f t="shared" si="2"/>
        <v>176.48</v>
      </c>
      <c r="G59" s="51">
        <f>NETWORKDAYS(A59,B59-1,Feriados!$A$2:$A$2000)</f>
        <v>195</v>
      </c>
      <c r="H59" s="121">
        <v>4.8499999999999996</v>
      </c>
      <c r="I59" s="57">
        <v>7.65</v>
      </c>
      <c r="J59" s="53">
        <f t="shared" si="14"/>
        <v>1.0002925627795001</v>
      </c>
      <c r="K59" s="117">
        <f>ROUND(VLOOKUP(A59,'VNA e PRT'!B:G,6,FALSE),2)</f>
        <v>5987</v>
      </c>
      <c r="L59" s="117">
        <f>ROUND(VLOOKUP(A59,'VNA e PRT'!B:G,3,FALSE),2)</f>
        <v>1.03</v>
      </c>
      <c r="M59" s="113">
        <f t="shared" si="8"/>
        <v>1.00051304076084</v>
      </c>
      <c r="N59" s="113">
        <f t="shared" si="9"/>
        <v>0.9997796350748489</v>
      </c>
      <c r="O59" s="70">
        <f t="shared" si="10"/>
        <v>144220.00319884569</v>
      </c>
      <c r="P59" s="70">
        <f t="shared" si="15"/>
        <v>144164.47597001932</v>
      </c>
      <c r="Q59" s="70">
        <f t="shared" si="16"/>
        <v>144275.53042767211</v>
      </c>
      <c r="S59" s="57">
        <v>4.8499999999999996</v>
      </c>
      <c r="T59" s="57">
        <v>7.65</v>
      </c>
      <c r="AA59" s="197"/>
    </row>
    <row r="60" spans="1:27" ht="15" x14ac:dyDescent="0.3">
      <c r="A60" s="60">
        <v>44508</v>
      </c>
      <c r="B60" s="60">
        <v>44788</v>
      </c>
      <c r="C60" s="54">
        <f t="shared" si="1"/>
        <v>96476.33</v>
      </c>
      <c r="D60" s="54">
        <f t="shared" si="13"/>
        <v>96401.54</v>
      </c>
      <c r="E60" s="54">
        <f t="shared" si="7"/>
        <v>96380.321824187849</v>
      </c>
      <c r="F60" s="115">
        <f t="shared" si="2"/>
        <v>143.77000000000001</v>
      </c>
      <c r="G60" s="51">
        <f>NETWORKDAYS(A60,B60-1,Feriados!$A$2:$A$2000)</f>
        <v>194</v>
      </c>
      <c r="H60" s="121">
        <v>4.7699999999999996</v>
      </c>
      <c r="I60" s="57">
        <v>7.65</v>
      </c>
      <c r="J60" s="53">
        <f t="shared" si="14"/>
        <v>1.0002925627795001</v>
      </c>
      <c r="K60" s="117">
        <f>ROUND(VLOOKUP(A60,'VNA e PRT'!B:G,6,FALSE),2)</f>
        <v>5990.07</v>
      </c>
      <c r="L60" s="117">
        <f>ROUND(VLOOKUP(A60,'VNA e PRT'!B:G,3,FALSE),2)</f>
        <v>1.03</v>
      </c>
      <c r="M60" s="113">
        <f t="shared" si="8"/>
        <v>1.00051277768498</v>
      </c>
      <c r="N60" s="113">
        <f t="shared" si="9"/>
        <v>0.99977989795793565</v>
      </c>
      <c r="O60" s="70">
        <f t="shared" si="10"/>
        <v>144262.19660384106</v>
      </c>
      <c r="P60" s="70">
        <f t="shared" si="15"/>
        <v>144062.88312981429</v>
      </c>
      <c r="Q60" s="70">
        <f t="shared" si="16"/>
        <v>144461.51007786786</v>
      </c>
      <c r="S60" s="57">
        <v>4.7699999999999996</v>
      </c>
      <c r="T60" s="57">
        <v>7.65</v>
      </c>
      <c r="AA60" s="197"/>
    </row>
    <row r="61" spans="1:27" ht="15" x14ac:dyDescent="0.3">
      <c r="A61" s="60">
        <v>44509</v>
      </c>
      <c r="B61" s="60">
        <v>44788</v>
      </c>
      <c r="C61" s="54">
        <f t="shared" si="1"/>
        <v>96529.45</v>
      </c>
      <c r="D61" s="54">
        <f t="shared" si="13"/>
        <v>96476.33</v>
      </c>
      <c r="E61" s="54">
        <f t="shared" si="7"/>
        <v>96455.120698767176</v>
      </c>
      <c r="F61" s="115">
        <f t="shared" si="2"/>
        <v>111.36</v>
      </c>
      <c r="G61" s="51">
        <f>NETWORKDAYS(A61,B61-1,Feriados!$A$2:$A$2000)</f>
        <v>193</v>
      </c>
      <c r="H61" s="121">
        <v>4.72</v>
      </c>
      <c r="I61" s="57">
        <v>7.65</v>
      </c>
      <c r="J61" s="53">
        <f t="shared" si="14"/>
        <v>1.0002925627795001</v>
      </c>
      <c r="K61" s="117">
        <f>ROUND(VLOOKUP(A61,'VNA e PRT'!B:G,6,FALSE),2)</f>
        <v>5993.14</v>
      </c>
      <c r="L61" s="117">
        <f>ROUND(VLOOKUP(A61,'VNA e PRT'!B:G,3,FALSE),2)</f>
        <v>1.03</v>
      </c>
      <c r="M61" s="113">
        <f t="shared" si="8"/>
        <v>1.0005125148787899</v>
      </c>
      <c r="N61" s="113">
        <f t="shared" si="9"/>
        <v>0.99978016057168817</v>
      </c>
      <c r="O61" s="70">
        <f t="shared" si="10"/>
        <v>144304.40235305627</v>
      </c>
      <c r="P61" s="70">
        <f t="shared" si="15"/>
        <v>143993.67056732555</v>
      </c>
      <c r="Q61" s="70">
        <f t="shared" si="16"/>
        <v>144615.13413878702</v>
      </c>
      <c r="S61" s="57">
        <v>4.72</v>
      </c>
      <c r="T61" s="57">
        <v>7.65</v>
      </c>
      <c r="AA61" s="197"/>
    </row>
    <row r="62" spans="1:27" ht="15" x14ac:dyDescent="0.3">
      <c r="A62" s="60">
        <v>44510</v>
      </c>
      <c r="B62" s="60">
        <v>44788</v>
      </c>
      <c r="C62" s="54">
        <f t="shared" si="1"/>
        <v>96673.75</v>
      </c>
      <c r="D62" s="54">
        <f t="shared" si="13"/>
        <v>96529.45</v>
      </c>
      <c r="E62" s="54">
        <f t="shared" si="7"/>
        <v>96330.091686020576</v>
      </c>
      <c r="F62" s="115">
        <f t="shared" si="2"/>
        <v>516.11</v>
      </c>
      <c r="G62" s="51">
        <f>NETWORKDAYS(A62,B62-1,Feriados!$A$2:$A$2000)</f>
        <v>192</v>
      </c>
      <c r="H62" s="121">
        <v>4.54</v>
      </c>
      <c r="I62" s="57">
        <v>7.65</v>
      </c>
      <c r="J62" s="53">
        <f t="shared" si="14"/>
        <v>1.0002925627795001</v>
      </c>
      <c r="K62" s="117">
        <f>ROUND(VLOOKUP(A62,'VNA e PRT'!B:G,6,FALSE),2)</f>
        <v>6007.3</v>
      </c>
      <c r="L62" s="117">
        <f>ROUND(VLOOKUP(A62,'VNA e PRT'!B:G,3,FALSE),2)</f>
        <v>1.25</v>
      </c>
      <c r="M62" s="113">
        <f t="shared" si="8"/>
        <v>1.0023627013552201</v>
      </c>
      <c r="N62" s="113">
        <f t="shared" si="9"/>
        <v>0.99793474101448398</v>
      </c>
      <c r="O62" s="70">
        <f t="shared" si="10"/>
        <v>144346.62045010278</v>
      </c>
      <c r="P62" s="70">
        <f t="shared" si="15"/>
        <v>143519.68775581717</v>
      </c>
      <c r="Q62" s="70">
        <f t="shared" si="16"/>
        <v>145173.55314438842</v>
      </c>
      <c r="S62" s="57">
        <v>4.54</v>
      </c>
      <c r="T62" s="57">
        <v>7.65</v>
      </c>
      <c r="AA62" s="197"/>
    </row>
    <row r="63" spans="1:27" ht="15" x14ac:dyDescent="0.3">
      <c r="A63" s="60">
        <v>44511</v>
      </c>
      <c r="B63" s="60">
        <v>44788</v>
      </c>
      <c r="C63" s="54">
        <f t="shared" si="1"/>
        <v>96873.45</v>
      </c>
      <c r="D63" s="54">
        <f t="shared" si="13"/>
        <v>96673.75</v>
      </c>
      <c r="E63" s="54">
        <f t="shared" si="7"/>
        <v>96642.027021651127</v>
      </c>
      <c r="F63" s="115">
        <f t="shared" si="2"/>
        <v>347.77</v>
      </c>
      <c r="G63" s="51">
        <f>NETWORKDAYS(A63,B63-1,Feriados!$A$2:$A$2000)</f>
        <v>191</v>
      </c>
      <c r="H63" s="121">
        <v>4.28</v>
      </c>
      <c r="I63" s="57">
        <v>7.65</v>
      </c>
      <c r="J63" s="53">
        <f t="shared" si="14"/>
        <v>1.0002925627795001</v>
      </c>
      <c r="K63" s="117">
        <f>ROUND(VLOOKUP(A63,'VNA e PRT'!B:G,6,FALSE),2)</f>
        <v>6011.03</v>
      </c>
      <c r="L63" s="117">
        <f>ROUND(VLOOKUP(A63,'VNA e PRT'!B:G,3,FALSE),2)</f>
        <v>1.25</v>
      </c>
      <c r="M63" s="113">
        <f t="shared" si="8"/>
        <v>1.00062091122468</v>
      </c>
      <c r="N63" s="113">
        <f t="shared" si="9"/>
        <v>0.99967185530354541</v>
      </c>
      <c r="O63" s="70">
        <f t="shared" si="10"/>
        <v>144388.85089859311</v>
      </c>
      <c r="P63" s="70">
        <f t="shared" si="15"/>
        <v>143213.90627458002</v>
      </c>
      <c r="Q63" s="70">
        <f t="shared" si="16"/>
        <v>145563.79552260623</v>
      </c>
      <c r="S63" s="57">
        <v>4.28</v>
      </c>
      <c r="T63" s="57">
        <v>7.65</v>
      </c>
      <c r="AA63" s="197"/>
    </row>
    <row r="64" spans="1:27" ht="15" x14ac:dyDescent="0.3">
      <c r="A64" s="60">
        <v>44512</v>
      </c>
      <c r="B64" s="60">
        <v>44788</v>
      </c>
      <c r="C64" s="54">
        <f t="shared" si="1"/>
        <v>96973.71</v>
      </c>
      <c r="D64" s="54">
        <f t="shared" si="13"/>
        <v>96873.45</v>
      </c>
      <c r="E64" s="54">
        <f t="shared" si="7"/>
        <v>96841.53777380033</v>
      </c>
      <c r="F64" s="115">
        <f t="shared" si="2"/>
        <v>198.74</v>
      </c>
      <c r="G64" s="51">
        <f>NETWORKDAYS(A64,B64-1,Feriados!$A$2:$A$2000)</f>
        <v>190</v>
      </c>
      <c r="H64" s="121">
        <v>4.16</v>
      </c>
      <c r="I64" s="57">
        <v>7.65</v>
      </c>
      <c r="J64" s="53">
        <f t="shared" si="14"/>
        <v>1.0002925627795001</v>
      </c>
      <c r="K64" s="117">
        <f>ROUND(VLOOKUP(A64,'VNA e PRT'!B:G,6,FALSE),2)</f>
        <v>6014.77</v>
      </c>
      <c r="L64" s="117">
        <f>ROUND(VLOOKUP(A64,'VNA e PRT'!B:G,3,FALSE),2)</f>
        <v>1.25</v>
      </c>
      <c r="M64" s="113">
        <f t="shared" si="8"/>
        <v>1.0006221895415599</v>
      </c>
      <c r="N64" s="113">
        <f t="shared" si="9"/>
        <v>0.99967057820073846</v>
      </c>
      <c r="O64" s="70">
        <f t="shared" si="10"/>
        <v>144431.09370214082</v>
      </c>
      <c r="P64" s="70">
        <f t="shared" si="15"/>
        <v>143057.06533306278</v>
      </c>
      <c r="Q64" s="70">
        <f t="shared" si="16"/>
        <v>145805.12207121891</v>
      </c>
      <c r="S64" s="57">
        <v>4.16</v>
      </c>
      <c r="T64" s="57">
        <v>7.65</v>
      </c>
      <c r="AA64" s="197"/>
    </row>
    <row r="65" spans="1:27" ht="15" x14ac:dyDescent="0.3">
      <c r="A65" s="60">
        <v>44516</v>
      </c>
      <c r="B65" s="60">
        <v>44788</v>
      </c>
      <c r="C65" s="54">
        <f t="shared" si="1"/>
        <v>97024.33</v>
      </c>
      <c r="D65" s="54">
        <f t="shared" si="13"/>
        <v>96973.71</v>
      </c>
      <c r="E65" s="54">
        <f t="shared" si="7"/>
        <v>96941.802227408334</v>
      </c>
      <c r="F65" s="115">
        <f t="shared" si="2"/>
        <v>124.17</v>
      </c>
      <c r="G65" s="51">
        <f>NETWORKDAYS(A65,B65-1,Feriados!$A$2:$A$2000)</f>
        <v>189</v>
      </c>
      <c r="H65" s="121">
        <v>4.1100000000000003</v>
      </c>
      <c r="I65" s="57">
        <v>7.65</v>
      </c>
      <c r="J65" s="53">
        <f t="shared" si="14"/>
        <v>1.0002925627795001</v>
      </c>
      <c r="K65" s="117">
        <f>ROUND(VLOOKUP(A65,'VNA e PRT'!B:G,6,FALSE),2)</f>
        <v>6018.51</v>
      </c>
      <c r="L65" s="117">
        <f>ROUND(VLOOKUP(A65,'VNA e PRT'!B:G,3,FALSE),2)</f>
        <v>1.25</v>
      </c>
      <c r="M65" s="113">
        <f t="shared" si="8"/>
        <v>1.00062180266245</v>
      </c>
      <c r="N65" s="113">
        <f t="shared" si="9"/>
        <v>0.99967096471206807</v>
      </c>
      <c r="O65" s="70">
        <f t="shared" si="10"/>
        <v>144473.34886436054</v>
      </c>
      <c r="P65" s="70">
        <f t="shared" si="15"/>
        <v>142974.74850572372</v>
      </c>
      <c r="Q65" s="70">
        <f t="shared" si="16"/>
        <v>145971.94922299741</v>
      </c>
      <c r="S65" s="57">
        <v>4.1100000000000003</v>
      </c>
      <c r="T65" s="57">
        <v>7.65</v>
      </c>
      <c r="AA65" s="197"/>
    </row>
    <row r="66" spans="1:27" ht="15" x14ac:dyDescent="0.3">
      <c r="A66" s="60">
        <v>44517</v>
      </c>
      <c r="B66" s="60">
        <v>44788</v>
      </c>
      <c r="C66" s="54">
        <f t="shared" si="1"/>
        <v>96977.31</v>
      </c>
      <c r="D66" s="54">
        <f t="shared" si="13"/>
        <v>97024.33</v>
      </c>
      <c r="E66" s="54">
        <f t="shared" si="7"/>
        <v>97007.262517372699</v>
      </c>
      <c r="F66" s="115">
        <f t="shared" si="2"/>
        <v>-45.08</v>
      </c>
      <c r="G66" s="51">
        <f>NETWORKDAYS(A66,B66-1,Feriados!$A$2:$A$2000)</f>
        <v>188</v>
      </c>
      <c r="H66" s="121">
        <v>4.2</v>
      </c>
      <c r="I66" s="57">
        <v>7.65</v>
      </c>
      <c r="J66" s="53">
        <f t="shared" si="14"/>
        <v>1.0002925627795001</v>
      </c>
      <c r="K66" s="117">
        <f>ROUND(VLOOKUP(A66,'VNA e PRT'!B:G,6,FALSE),2)</f>
        <v>6021.33</v>
      </c>
      <c r="L66" s="117">
        <f>ROUND(VLOOKUP(A66,'VNA e PRT'!B:G,3,FALSE),2)</f>
        <v>0.99</v>
      </c>
      <c r="M66" s="113">
        <f t="shared" si="8"/>
        <v>1.0004685545093399</v>
      </c>
      <c r="N66" s="113">
        <f t="shared" si="9"/>
        <v>0.99982409069325906</v>
      </c>
      <c r="O66" s="70">
        <f t="shared" si="10"/>
        <v>144515.61638886799</v>
      </c>
      <c r="P66" s="70">
        <f t="shared" si="15"/>
        <v>143061.65759554488</v>
      </c>
      <c r="Q66" s="70">
        <f t="shared" si="16"/>
        <v>145969.57518219115</v>
      </c>
      <c r="S66" s="57">
        <v>4.2</v>
      </c>
      <c r="T66" s="57">
        <v>7.65</v>
      </c>
      <c r="AA66" s="197"/>
    </row>
    <row r="67" spans="1:27" ht="15" x14ac:dyDescent="0.3">
      <c r="A67" s="60">
        <v>44518</v>
      </c>
      <c r="B67" s="60">
        <v>44788</v>
      </c>
      <c r="C67" s="54">
        <f t="shared" ref="C67:C132" si="17">+ROUND((100000/(1+H67/100)^(G67/252)),2)</f>
        <v>96924.12</v>
      </c>
      <c r="D67" s="54">
        <f t="shared" si="13"/>
        <v>96977.31</v>
      </c>
      <c r="E67" s="54">
        <f t="shared" si="7"/>
        <v>96960.111103322663</v>
      </c>
      <c r="F67" s="115">
        <f t="shared" ref="F67:F130" si="18">TRUNC((C67-E67)*0.00025*K67,2)</f>
        <v>-54.2</v>
      </c>
      <c r="G67" s="51">
        <f>NETWORKDAYS(A67,B67-1,Feriados!$A$2:$A$2000)</f>
        <v>187</v>
      </c>
      <c r="H67" s="121">
        <v>4.3</v>
      </c>
      <c r="I67" s="57">
        <v>7.65</v>
      </c>
      <c r="J67" s="53">
        <f t="shared" si="14"/>
        <v>1.0002925627795001</v>
      </c>
      <c r="K67" s="117">
        <f>ROUND(VLOOKUP(A67,'VNA e PRT'!B:G,6,FALSE),2)</f>
        <v>6024.16</v>
      </c>
      <c r="L67" s="117">
        <f>ROUND(VLOOKUP(A67,'VNA e PRT'!B:G,3,FALSE),2)</f>
        <v>0.99</v>
      </c>
      <c r="M67" s="113">
        <f t="shared" si="8"/>
        <v>1.00046999583149</v>
      </c>
      <c r="N67" s="113">
        <f t="shared" si="9"/>
        <v>0.99982265030162898</v>
      </c>
      <c r="O67" s="70">
        <f t="shared" si="10"/>
        <v>144557.89627927987</v>
      </c>
      <c r="P67" s="70">
        <f t="shared" si="15"/>
        <v>143157.71211173094</v>
      </c>
      <c r="Q67" s="70">
        <f t="shared" si="16"/>
        <v>145958.08044682888</v>
      </c>
      <c r="S67" s="57">
        <v>4.3</v>
      </c>
      <c r="T67" s="57">
        <v>7.65</v>
      </c>
      <c r="AA67" s="197"/>
    </row>
    <row r="68" spans="1:27" ht="15" x14ac:dyDescent="0.3">
      <c r="A68" s="60">
        <v>44519</v>
      </c>
      <c r="B68" s="60">
        <v>44788</v>
      </c>
      <c r="C68" s="54">
        <f t="shared" si="17"/>
        <v>96933.46</v>
      </c>
      <c r="D68" s="54">
        <f t="shared" si="13"/>
        <v>96924.12</v>
      </c>
      <c r="E68" s="54">
        <f t="shared" ref="E68:E133" si="19">D68*N68</f>
        <v>96907.11271138626</v>
      </c>
      <c r="F68" s="115">
        <f t="shared" si="18"/>
        <v>39.69</v>
      </c>
      <c r="G68" s="51">
        <f>NETWORKDAYS(A68,B68-1,Feriados!$A$2:$A$2000)</f>
        <v>186</v>
      </c>
      <c r="H68" s="121">
        <v>4.3099999999999996</v>
      </c>
      <c r="I68" s="57">
        <v>7.65</v>
      </c>
      <c r="J68" s="53">
        <f t="shared" si="14"/>
        <v>1.0002925627795001</v>
      </c>
      <c r="K68" s="117">
        <f>ROUND(VLOOKUP(A68,'VNA e PRT'!B:G,6,FALSE),2)</f>
        <v>6026.98</v>
      </c>
      <c r="L68" s="117">
        <f>ROUND(VLOOKUP(A68,'VNA e PRT'!B:G,3,FALSE),2)</f>
        <v>0.99</v>
      </c>
      <c r="M68" s="113">
        <f t="shared" ref="M68:M133" si="20">ROUND(K68/K67,100)</f>
        <v>1.0004681150567001</v>
      </c>
      <c r="N68" s="113">
        <f t="shared" ref="N68:N133" si="21">+J68/M68</f>
        <v>0.99982452986301307</v>
      </c>
      <c r="O68" s="70">
        <f t="shared" ref="O68:O133" si="22">+O67*J67</f>
        <v>144600.18853921402</v>
      </c>
      <c r="P68" s="70">
        <f t="shared" si="15"/>
        <v>143159.90472989323</v>
      </c>
      <c r="Q68" s="70">
        <f t="shared" si="16"/>
        <v>146040.47234853491</v>
      </c>
      <c r="S68" s="57">
        <v>4.3099999999999996</v>
      </c>
      <c r="T68" s="57">
        <v>7.65</v>
      </c>
      <c r="AA68" s="197"/>
    </row>
    <row r="69" spans="1:27" ht="15" x14ac:dyDescent="0.3">
      <c r="A69" s="60">
        <v>44522</v>
      </c>
      <c r="B69" s="60">
        <v>44788</v>
      </c>
      <c r="C69" s="54">
        <f t="shared" si="17"/>
        <v>96827.06</v>
      </c>
      <c r="D69" s="54">
        <f t="shared" ref="D69:D132" si="23">+C68</f>
        <v>96933.46</v>
      </c>
      <c r="E69" s="54">
        <f t="shared" si="19"/>
        <v>96916.311561198469</v>
      </c>
      <c r="F69" s="115">
        <f t="shared" si="18"/>
        <v>-134.54</v>
      </c>
      <c r="G69" s="51">
        <f>NETWORKDAYS(A69,B69-1,Feriados!$A$2:$A$2000)</f>
        <v>185</v>
      </c>
      <c r="H69" s="121">
        <v>4.49</v>
      </c>
      <c r="I69" s="57">
        <v>7.65</v>
      </c>
      <c r="J69" s="53">
        <f t="shared" si="14"/>
        <v>1.0002925627795001</v>
      </c>
      <c r="K69" s="117">
        <f>ROUND(VLOOKUP(A69,'VNA e PRT'!B:G,6,FALSE),2)</f>
        <v>6029.81</v>
      </c>
      <c r="L69" s="117">
        <f>ROUND(VLOOKUP(A69,'VNA e PRT'!B:G,3,FALSE),2)</f>
        <v>0.99</v>
      </c>
      <c r="M69" s="113">
        <f t="shared" si="20"/>
        <v>1.0004695552333001</v>
      </c>
      <c r="N69" s="113">
        <f t="shared" si="21"/>
        <v>0.99982309061492758</v>
      </c>
      <c r="O69" s="70">
        <f t="shared" si="22"/>
        <v>144642.49317228928</v>
      </c>
      <c r="P69" s="70">
        <f t="shared" si="15"/>
        <v>143336.32798953398</v>
      </c>
      <c r="Q69" s="70">
        <f t="shared" si="16"/>
        <v>145948.6583550447</v>
      </c>
      <c r="S69" s="57">
        <v>4.49</v>
      </c>
      <c r="T69" s="57">
        <v>7.65</v>
      </c>
      <c r="AA69" s="197"/>
    </row>
    <row r="70" spans="1:27" ht="15" x14ac:dyDescent="0.3">
      <c r="A70" s="60">
        <v>44523</v>
      </c>
      <c r="B70" s="60">
        <v>44788</v>
      </c>
      <c r="C70" s="54">
        <f t="shared" si="17"/>
        <v>96695.32</v>
      </c>
      <c r="D70" s="54">
        <f t="shared" si="23"/>
        <v>96827.06</v>
      </c>
      <c r="E70" s="54">
        <f t="shared" si="19"/>
        <v>96809.951709189336</v>
      </c>
      <c r="F70" s="115">
        <f t="shared" si="18"/>
        <v>-172.88</v>
      </c>
      <c r="G70" s="51">
        <f>NETWORKDAYS(A70,B70-1,Feriados!$A$2:$A$2000)</f>
        <v>184</v>
      </c>
      <c r="H70" s="121">
        <v>4.71</v>
      </c>
      <c r="I70" s="57">
        <v>7.65</v>
      </c>
      <c r="J70" s="53">
        <f t="shared" ref="J70:J135" si="24">ROUND(+(1+I70/100)^(1/252),100)</f>
        <v>1.0002925627795001</v>
      </c>
      <c r="K70" s="117">
        <f>ROUND(VLOOKUP(A70,'VNA e PRT'!B:G,6,FALSE),2)</f>
        <v>6032.64</v>
      </c>
      <c r="L70" s="117">
        <f>ROUND(VLOOKUP(A70,'VNA e PRT'!B:G,3,FALSE),2)</f>
        <v>0.99</v>
      </c>
      <c r="M70" s="113">
        <f t="shared" si="20"/>
        <v>1.0004693348546601</v>
      </c>
      <c r="N70" s="113">
        <f t="shared" si="21"/>
        <v>0.99982331085121601</v>
      </c>
      <c r="O70" s="70">
        <f t="shared" si="22"/>
        <v>144684.8101821256</v>
      </c>
      <c r="P70" s="70">
        <f t="shared" ref="P70:P135" si="25">+(P69*J69)-F70</f>
        <v>143551.14286405392</v>
      </c>
      <c r="Q70" s="70">
        <f t="shared" ref="Q70:Q135" si="26">+(Q69*J69)+F70</f>
        <v>145818.47750019736</v>
      </c>
      <c r="S70" s="57">
        <v>4.71</v>
      </c>
      <c r="T70" s="57">
        <v>7.65</v>
      </c>
      <c r="AA70" s="197"/>
    </row>
    <row r="71" spans="1:27" ht="15" x14ac:dyDescent="0.3">
      <c r="A71" s="60">
        <v>44524</v>
      </c>
      <c r="B71" s="60">
        <v>44788</v>
      </c>
      <c r="C71" s="54">
        <f t="shared" si="17"/>
        <v>96854.080000000002</v>
      </c>
      <c r="D71" s="54">
        <f t="shared" si="23"/>
        <v>96695.32</v>
      </c>
      <c r="E71" s="54">
        <f t="shared" si="19"/>
        <v>96678.25626206478</v>
      </c>
      <c r="F71" s="115">
        <f t="shared" si="18"/>
        <v>265.29000000000002</v>
      </c>
      <c r="G71" s="51">
        <f>NETWORKDAYS(A71,B71-1,Feriados!$A$2:$A$2000)</f>
        <v>183</v>
      </c>
      <c r="H71" s="121">
        <v>4.5</v>
      </c>
      <c r="I71" s="57">
        <v>7.65</v>
      </c>
      <c r="J71" s="53">
        <f t="shared" si="24"/>
        <v>1.0002925627795001</v>
      </c>
      <c r="K71" s="117">
        <f>ROUND(VLOOKUP(A71,'VNA e PRT'!B:G,6,FALSE),2)</f>
        <v>6035.47</v>
      </c>
      <c r="L71" s="117">
        <f>ROUND(VLOOKUP(A71,'VNA e PRT'!B:G,3,FALSE),2)</f>
        <v>0.99</v>
      </c>
      <c r="M71" s="113">
        <f t="shared" si="20"/>
        <v>1.00046911468279</v>
      </c>
      <c r="N71" s="113">
        <f t="shared" si="21"/>
        <v>0.99982353088096487</v>
      </c>
      <c r="O71" s="70">
        <f t="shared" si="22"/>
        <v>144727.13957234393</v>
      </c>
      <c r="P71" s="70">
        <f t="shared" si="25"/>
        <v>143327.85058541063</v>
      </c>
      <c r="Q71" s="70">
        <f t="shared" si="26"/>
        <v>146126.42855927729</v>
      </c>
      <c r="S71" s="57">
        <v>4.5</v>
      </c>
      <c r="T71" s="57">
        <v>7.65</v>
      </c>
      <c r="AA71" s="197"/>
    </row>
    <row r="72" spans="1:27" ht="15" x14ac:dyDescent="0.3">
      <c r="A72" s="60">
        <v>44525</v>
      </c>
      <c r="B72" s="60">
        <v>44788</v>
      </c>
      <c r="C72" s="54">
        <f t="shared" si="17"/>
        <v>96797.42</v>
      </c>
      <c r="D72" s="54">
        <f t="shared" si="23"/>
        <v>96854.080000000002</v>
      </c>
      <c r="E72" s="54">
        <f t="shared" si="19"/>
        <v>96837.009536630183</v>
      </c>
      <c r="F72" s="115">
        <f t="shared" si="18"/>
        <v>-59.76</v>
      </c>
      <c r="G72" s="51">
        <f>NETWORKDAYS(A72,B72-1,Feriados!$A$2:$A$2000)</f>
        <v>182</v>
      </c>
      <c r="H72" s="121">
        <v>4.6100000000000003</v>
      </c>
      <c r="I72" s="57">
        <v>7.65</v>
      </c>
      <c r="J72" s="53">
        <f t="shared" si="24"/>
        <v>1.0002925627795001</v>
      </c>
      <c r="K72" s="117">
        <f>ROUND(VLOOKUP(A72,'VNA e PRT'!B:G,6,FALSE),2)</f>
        <v>6038.3</v>
      </c>
      <c r="L72" s="117">
        <f>ROUND(VLOOKUP(A72,'VNA e PRT'!B:G,3,FALSE),2)</f>
        <v>0.99</v>
      </c>
      <c r="M72" s="113">
        <f t="shared" si="20"/>
        <v>1.0004688947174001</v>
      </c>
      <c r="N72" s="113">
        <f t="shared" si="21"/>
        <v>0.99982375070446361</v>
      </c>
      <c r="O72" s="70">
        <f t="shared" si="22"/>
        <v>144769.48134656632</v>
      </c>
      <c r="P72" s="70">
        <f t="shared" si="25"/>
        <v>143429.54297975768</v>
      </c>
      <c r="Q72" s="70">
        <f t="shared" si="26"/>
        <v>146109.41971337501</v>
      </c>
      <c r="S72" s="57">
        <v>4.6100000000000003</v>
      </c>
      <c r="T72" s="57">
        <v>7.65</v>
      </c>
      <c r="AA72" s="197"/>
    </row>
    <row r="73" spans="1:27" ht="15" x14ac:dyDescent="0.3">
      <c r="A73" s="60">
        <v>44526</v>
      </c>
      <c r="B73" s="60">
        <v>44788</v>
      </c>
      <c r="C73" s="54">
        <f t="shared" si="17"/>
        <v>96861.29</v>
      </c>
      <c r="D73" s="54">
        <f t="shared" si="23"/>
        <v>96797.42</v>
      </c>
      <c r="E73" s="54">
        <f t="shared" si="19"/>
        <v>96747.390326880486</v>
      </c>
      <c r="F73" s="115">
        <f t="shared" si="18"/>
        <v>172.07</v>
      </c>
      <c r="G73" s="51">
        <f>NETWORKDAYS(A73,B73-1,Feriados!$A$2:$A$2000)</f>
        <v>181</v>
      </c>
      <c r="H73" s="121">
        <v>4.54</v>
      </c>
      <c r="I73" s="57">
        <v>7.65</v>
      </c>
      <c r="J73" s="53">
        <f t="shared" si="24"/>
        <v>1.0002925627795001</v>
      </c>
      <c r="K73" s="117">
        <f>ROUND(VLOOKUP(A73,'VNA e PRT'!B:G,6,FALSE),2)</f>
        <v>6043.19</v>
      </c>
      <c r="L73" s="117">
        <f>ROUND(VLOOKUP(A73,'VNA e PRT'!B:G,3,FALSE),2)</f>
        <v>1.08</v>
      </c>
      <c r="M73" s="113">
        <f t="shared" si="20"/>
        <v>1.0008098305814599</v>
      </c>
      <c r="N73" s="113">
        <f t="shared" si="21"/>
        <v>0.99948315075836203</v>
      </c>
      <c r="O73" s="70">
        <f t="shared" si="22"/>
        <v>144811.83550841585</v>
      </c>
      <c r="P73" s="70">
        <f t="shared" si="25"/>
        <v>143299.43512551425</v>
      </c>
      <c r="Q73" s="70">
        <f t="shared" si="26"/>
        <v>146324.23589131751</v>
      </c>
      <c r="S73" s="57">
        <v>4.54</v>
      </c>
      <c r="T73" s="57">
        <v>7.65</v>
      </c>
      <c r="AA73" s="197"/>
    </row>
    <row r="74" spans="1:27" ht="15" x14ac:dyDescent="0.3">
      <c r="A74" s="60">
        <v>44529</v>
      </c>
      <c r="B74" s="60">
        <v>44788</v>
      </c>
      <c r="C74" s="54">
        <f t="shared" si="17"/>
        <v>96904.85</v>
      </c>
      <c r="D74" s="54">
        <f t="shared" si="23"/>
        <v>96861.29</v>
      </c>
      <c r="E74" s="54">
        <f t="shared" si="19"/>
        <v>96840.111784939581</v>
      </c>
      <c r="F74" s="115">
        <f t="shared" si="18"/>
        <v>97.85</v>
      </c>
      <c r="G74" s="51">
        <f>NETWORKDAYS(A74,B74-1,Feriados!$A$2:$A$2000)</f>
        <v>180</v>
      </c>
      <c r="H74" s="121">
        <v>4.5</v>
      </c>
      <c r="I74" s="57">
        <v>7.65</v>
      </c>
      <c r="J74" s="53">
        <f t="shared" si="24"/>
        <v>1.0002925627795001</v>
      </c>
      <c r="K74" s="117">
        <f>ROUND(VLOOKUP(A74,'VNA e PRT'!B:G,6,FALSE),2)</f>
        <v>6046.28</v>
      </c>
      <c r="L74" s="117">
        <f>ROUND(VLOOKUP(A74,'VNA e PRT'!B:G,3,FALSE),2)</f>
        <v>1.08</v>
      </c>
      <c r="M74" s="113">
        <f t="shared" si="20"/>
        <v>1.0005113193528601</v>
      </c>
      <c r="N74" s="113">
        <f t="shared" si="21"/>
        <v>0.9997813552239454</v>
      </c>
      <c r="O74" s="70">
        <f t="shared" si="22"/>
        <v>144854.2020615167</v>
      </c>
      <c r="P74" s="70">
        <f t="shared" si="25"/>
        <v>143243.50920655535</v>
      </c>
      <c r="Q74" s="70">
        <f t="shared" si="26"/>
        <v>146464.89491647811</v>
      </c>
      <c r="S74" s="57">
        <v>4.5</v>
      </c>
      <c r="T74" s="57">
        <v>7.65</v>
      </c>
      <c r="AA74" s="197"/>
    </row>
    <row r="75" spans="1:27" ht="15" x14ac:dyDescent="0.3">
      <c r="A75" s="60">
        <v>44530</v>
      </c>
      <c r="B75" s="60">
        <v>44788</v>
      </c>
      <c r="C75" s="54">
        <f t="shared" si="17"/>
        <v>96836.22</v>
      </c>
      <c r="D75" s="54">
        <f t="shared" si="23"/>
        <v>96904.85</v>
      </c>
      <c r="E75" s="54">
        <f t="shared" si="19"/>
        <v>96883.687564886015</v>
      </c>
      <c r="F75" s="115">
        <f t="shared" si="18"/>
        <v>-71.78</v>
      </c>
      <c r="G75" s="51">
        <f>NETWORKDAYS(A75,B75-1,Feriados!$A$2:$A$2000)</f>
        <v>179</v>
      </c>
      <c r="H75" s="121">
        <v>4.63</v>
      </c>
      <c r="I75" s="57">
        <v>7.65</v>
      </c>
      <c r="J75" s="53">
        <f t="shared" si="24"/>
        <v>1.0002925627795001</v>
      </c>
      <c r="K75" s="117">
        <f>ROUND(VLOOKUP(A75,'VNA e PRT'!B:G,6,FALSE),2)</f>
        <v>6049.37</v>
      </c>
      <c r="L75" s="117">
        <f>ROUND(VLOOKUP(A75,'VNA e PRT'!B:G,3,FALSE),2)</f>
        <v>1.08</v>
      </c>
      <c r="M75" s="113">
        <f t="shared" si="20"/>
        <v>1.00051105803899</v>
      </c>
      <c r="N75" s="113">
        <f t="shared" si="21"/>
        <v>0.99978161634723139</v>
      </c>
      <c r="O75" s="70">
        <f t="shared" si="22"/>
        <v>144896.58100949408</v>
      </c>
      <c r="P75" s="70">
        <f t="shared" si="25"/>
        <v>143357.19692575416</v>
      </c>
      <c r="Q75" s="70">
        <f t="shared" si="26"/>
        <v>146435.96509323406</v>
      </c>
      <c r="S75" s="57">
        <v>4.63</v>
      </c>
      <c r="T75" s="57">
        <v>7.65</v>
      </c>
      <c r="AA75" s="197"/>
    </row>
    <row r="76" spans="1:27" ht="15" x14ac:dyDescent="0.3">
      <c r="A76" s="60">
        <v>44531</v>
      </c>
      <c r="B76" s="60">
        <v>44788</v>
      </c>
      <c r="C76" s="54">
        <f t="shared" si="17"/>
        <v>96794.81</v>
      </c>
      <c r="D76" s="54">
        <f t="shared" si="23"/>
        <v>96836.22</v>
      </c>
      <c r="E76" s="54">
        <f t="shared" si="19"/>
        <v>96814.937853279422</v>
      </c>
      <c r="F76" s="115">
        <f t="shared" si="18"/>
        <v>-30.45</v>
      </c>
      <c r="G76" s="51">
        <f>NETWORKDAYS(A76,B76-1,Feriados!$A$2:$A$2000)</f>
        <v>178</v>
      </c>
      <c r="H76" s="121">
        <v>4.72</v>
      </c>
      <c r="I76" s="57">
        <v>7.65</v>
      </c>
      <c r="J76" s="53">
        <f t="shared" si="24"/>
        <v>1.0002925627795001</v>
      </c>
      <c r="K76" s="117">
        <f>ROUND(VLOOKUP(A76,'VNA e PRT'!B:G,6,FALSE),2)</f>
        <v>6052.47</v>
      </c>
      <c r="L76" s="117">
        <f>ROUND(VLOOKUP(A76,'VNA e PRT'!B:G,3,FALSE),2)</f>
        <v>1.08</v>
      </c>
      <c r="M76" s="113">
        <f t="shared" si="20"/>
        <v>1.0005124500567799</v>
      </c>
      <c r="N76" s="113">
        <f t="shared" si="21"/>
        <v>0.99978022534625399</v>
      </c>
      <c r="O76" s="70">
        <f t="shared" si="22"/>
        <v>144938.97235597429</v>
      </c>
      <c r="P76" s="70">
        <f t="shared" si="25"/>
        <v>143429.58790574811</v>
      </c>
      <c r="Q76" s="70">
        <f t="shared" si="26"/>
        <v>146448.35680620049</v>
      </c>
      <c r="S76" s="57">
        <v>4.72</v>
      </c>
      <c r="T76" s="57">
        <v>7.65</v>
      </c>
      <c r="AA76" s="197"/>
    </row>
    <row r="77" spans="1:27" ht="15" x14ac:dyDescent="0.3">
      <c r="A77" s="60">
        <v>44532</v>
      </c>
      <c r="B77" s="60">
        <v>44788</v>
      </c>
      <c r="C77" s="54">
        <f t="shared" si="17"/>
        <v>96780.08</v>
      </c>
      <c r="D77" s="54">
        <f t="shared" si="23"/>
        <v>96794.81</v>
      </c>
      <c r="E77" s="54">
        <f t="shared" si="19"/>
        <v>96773.722150783477</v>
      </c>
      <c r="F77" s="115">
        <f t="shared" si="18"/>
        <v>9.6199999999999992</v>
      </c>
      <c r="G77" s="51">
        <f>NETWORKDAYS(A77,B77-1,Feriados!$A$2:$A$2000)</f>
        <v>177</v>
      </c>
      <c r="H77" s="121">
        <v>4.7699999999999996</v>
      </c>
      <c r="I77" s="57">
        <v>7.65</v>
      </c>
      <c r="J77" s="53">
        <f t="shared" si="24"/>
        <v>1.0002925627795001</v>
      </c>
      <c r="K77" s="117">
        <f>ROUND(VLOOKUP(A77,'VNA e PRT'!B:G,6,FALSE),2)</f>
        <v>6055.56</v>
      </c>
      <c r="L77" s="117">
        <f>ROUND(VLOOKUP(A77,'VNA e PRT'!B:G,3,FALSE),2)</f>
        <v>1.08</v>
      </c>
      <c r="M77" s="113">
        <f t="shared" si="20"/>
        <v>1.00051053536821</v>
      </c>
      <c r="N77" s="113">
        <f t="shared" si="21"/>
        <v>0.9997821386372211</v>
      </c>
      <c r="O77" s="70">
        <f t="shared" si="22"/>
        <v>144981.37610458463</v>
      </c>
      <c r="P77" s="70">
        <f t="shared" si="25"/>
        <v>143461.93006464836</v>
      </c>
      <c r="Q77" s="70">
        <f t="shared" si="26"/>
        <v>146500.82214452093</v>
      </c>
      <c r="S77" s="57">
        <v>4.7699999999999996</v>
      </c>
      <c r="T77" s="57">
        <v>7.65</v>
      </c>
      <c r="AA77" s="197"/>
    </row>
    <row r="78" spans="1:27" ht="15" x14ac:dyDescent="0.3">
      <c r="A78" s="60">
        <v>44533</v>
      </c>
      <c r="B78" s="60">
        <v>44788</v>
      </c>
      <c r="C78" s="54">
        <f t="shared" si="17"/>
        <v>96843.17</v>
      </c>
      <c r="D78" s="54">
        <f t="shared" si="23"/>
        <v>96780.08</v>
      </c>
      <c r="E78" s="54">
        <f t="shared" si="19"/>
        <v>96758.860850372119</v>
      </c>
      <c r="F78" s="115">
        <f t="shared" si="18"/>
        <v>127.7</v>
      </c>
      <c r="G78" s="51">
        <f>NETWORKDAYS(A78,B78-1,Feriados!$A$2:$A$2000)</f>
        <v>176</v>
      </c>
      <c r="H78" s="121">
        <v>4.7</v>
      </c>
      <c r="I78" s="57">
        <v>7.65</v>
      </c>
      <c r="J78" s="53">
        <f t="shared" si="24"/>
        <v>1.0002925627795001</v>
      </c>
      <c r="K78" s="117">
        <f>ROUND(VLOOKUP(A78,'VNA e PRT'!B:G,6,FALSE),2)</f>
        <v>6058.66</v>
      </c>
      <c r="L78" s="117">
        <f>ROUND(VLOOKUP(A78,'VNA e PRT'!B:G,3,FALSE),2)</f>
        <v>1.08</v>
      </c>
      <c r="M78" s="113">
        <f t="shared" si="20"/>
        <v>1.0005119262297799</v>
      </c>
      <c r="N78" s="113">
        <f t="shared" si="21"/>
        <v>0.99978074879016543</v>
      </c>
      <c r="O78" s="70">
        <f t="shared" si="22"/>
        <v>145023.79225895353</v>
      </c>
      <c r="P78" s="70">
        <f t="shared" si="25"/>
        <v>143376.20168566052</v>
      </c>
      <c r="Q78" s="70">
        <f t="shared" si="26"/>
        <v>146671.3828322466</v>
      </c>
      <c r="S78" s="57">
        <v>4.7</v>
      </c>
      <c r="T78" s="57">
        <v>7.65</v>
      </c>
      <c r="AA78" s="197"/>
    </row>
    <row r="79" spans="1:27" ht="15" x14ac:dyDescent="0.3">
      <c r="A79" s="60">
        <v>44536</v>
      </c>
      <c r="B79" s="60">
        <v>44788</v>
      </c>
      <c r="C79" s="54">
        <f t="shared" si="17"/>
        <v>96815.87</v>
      </c>
      <c r="D79" s="54">
        <f t="shared" si="23"/>
        <v>96843.17</v>
      </c>
      <c r="E79" s="54">
        <f t="shared" si="19"/>
        <v>96821.962365836676</v>
      </c>
      <c r="F79" s="115">
        <f t="shared" si="18"/>
        <v>-9.23</v>
      </c>
      <c r="G79" s="51">
        <f>NETWORKDAYS(A79,B79-1,Feriados!$A$2:$A$2000)</f>
        <v>175</v>
      </c>
      <c r="H79" s="121">
        <v>4.7699999999999996</v>
      </c>
      <c r="I79" s="57">
        <v>7.65</v>
      </c>
      <c r="J79" s="53">
        <f t="shared" si="24"/>
        <v>1.0002925627795001</v>
      </c>
      <c r="K79" s="117">
        <f>ROUND(VLOOKUP(A79,'VNA e PRT'!B:G,6,FALSE),2)</f>
        <v>6061.76</v>
      </c>
      <c r="L79" s="117">
        <f>ROUND(VLOOKUP(A79,'VNA e PRT'!B:G,3,FALSE),2)</f>
        <v>1.08</v>
      </c>
      <c r="M79" s="113">
        <f t="shared" si="20"/>
        <v>1.0005116642954099</v>
      </c>
      <c r="N79" s="113">
        <f t="shared" si="21"/>
        <v>0.99978101053318136</v>
      </c>
      <c r="O79" s="70">
        <f t="shared" si="22"/>
        <v>145066.22082271046</v>
      </c>
      <c r="P79" s="70">
        <f t="shared" si="25"/>
        <v>143427.37822573984</v>
      </c>
      <c r="Q79" s="70">
        <f t="shared" si="26"/>
        <v>146705.0634196811</v>
      </c>
      <c r="S79" s="57">
        <v>4.7699999999999996</v>
      </c>
      <c r="T79" s="57">
        <v>7.65</v>
      </c>
      <c r="AA79" s="197"/>
    </row>
    <row r="80" spans="1:27" ht="15" x14ac:dyDescent="0.3">
      <c r="A80" s="60">
        <v>44537</v>
      </c>
      <c r="B80" s="60">
        <v>44788</v>
      </c>
      <c r="C80" s="54">
        <f t="shared" si="17"/>
        <v>96770.01</v>
      </c>
      <c r="D80" s="54">
        <f t="shared" si="23"/>
        <v>96815.87</v>
      </c>
      <c r="E80" s="54">
        <f t="shared" si="19"/>
        <v>96794.693659222161</v>
      </c>
      <c r="F80" s="115">
        <f t="shared" si="18"/>
        <v>-37.42</v>
      </c>
      <c r="G80" s="51">
        <f>NETWORKDAYS(A80,B80-1,Feriados!$A$2:$A$2000)</f>
        <v>174</v>
      </c>
      <c r="H80" s="121">
        <v>4.87</v>
      </c>
      <c r="I80" s="57">
        <v>7.65</v>
      </c>
      <c r="J80" s="53">
        <f t="shared" si="24"/>
        <v>1.0002925627795001</v>
      </c>
      <c r="K80" s="117">
        <f>ROUND(VLOOKUP(A80,'VNA e PRT'!B:G,6,FALSE),2)</f>
        <v>6064.86</v>
      </c>
      <c r="L80" s="117">
        <f>ROUND(VLOOKUP(A80,'VNA e PRT'!B:G,3,FALSE),2)</f>
        <v>1.08</v>
      </c>
      <c r="M80" s="113">
        <f t="shared" si="20"/>
        <v>1.0005114026289399</v>
      </c>
      <c r="N80" s="113">
        <f t="shared" si="21"/>
        <v>0.99978127200862998</v>
      </c>
      <c r="O80" s="70">
        <f t="shared" si="22"/>
        <v>145108.66179948591</v>
      </c>
      <c r="P80" s="70">
        <f t="shared" si="25"/>
        <v>143506.75973816999</v>
      </c>
      <c r="Q80" s="70">
        <f t="shared" si="26"/>
        <v>146710.56386080189</v>
      </c>
      <c r="S80" s="57">
        <v>4.87</v>
      </c>
      <c r="T80" s="57">
        <v>7.65</v>
      </c>
      <c r="AA80" s="197"/>
    </row>
    <row r="81" spans="1:27" ht="15" x14ac:dyDescent="0.3">
      <c r="A81" s="60">
        <v>44538</v>
      </c>
      <c r="B81" s="60">
        <v>44788</v>
      </c>
      <c r="C81" s="54">
        <f t="shared" si="17"/>
        <v>96756.61</v>
      </c>
      <c r="D81" s="54">
        <f t="shared" si="23"/>
        <v>96770.01</v>
      </c>
      <c r="E81" s="54">
        <f t="shared" si="19"/>
        <v>96748.709525311569</v>
      </c>
      <c r="F81" s="115">
        <f t="shared" si="18"/>
        <v>11.98</v>
      </c>
      <c r="G81" s="51">
        <f>NETWORKDAYS(A81,B81-1,Feriados!$A$2:$A$2000)</f>
        <v>173</v>
      </c>
      <c r="H81" s="121">
        <v>4.92</v>
      </c>
      <c r="I81" s="57">
        <v>7.65</v>
      </c>
      <c r="J81" s="53">
        <f t="shared" si="24"/>
        <v>1.0002925627795001</v>
      </c>
      <c r="K81" s="117">
        <f>ROUND(VLOOKUP(A81,'VNA e PRT'!B:G,6,FALSE),2)</f>
        <v>6067.97</v>
      </c>
      <c r="L81" s="117">
        <f>ROUND(VLOOKUP(A81,'VNA e PRT'!B:G,3,FALSE),2)</f>
        <v>1.08</v>
      </c>
      <c r="M81" s="113">
        <f t="shared" si="20"/>
        <v>1.00051279007265</v>
      </c>
      <c r="N81" s="113">
        <f t="shared" si="21"/>
        <v>0.99977988557933983</v>
      </c>
      <c r="O81" s="70">
        <f t="shared" si="22"/>
        <v>145151.1151929115</v>
      </c>
      <c r="P81" s="70">
        <f t="shared" si="25"/>
        <v>143536.76447467602</v>
      </c>
      <c r="Q81" s="70">
        <f t="shared" si="26"/>
        <v>146765.46591114704</v>
      </c>
      <c r="S81" s="57">
        <v>4.92</v>
      </c>
      <c r="T81" s="57">
        <v>7.65</v>
      </c>
      <c r="AA81" s="197"/>
    </row>
    <row r="82" spans="1:27" ht="15" x14ac:dyDescent="0.3">
      <c r="A82" s="60">
        <v>44539</v>
      </c>
      <c r="B82" s="60">
        <v>44788</v>
      </c>
      <c r="C82" s="54">
        <f t="shared" si="17"/>
        <v>96624.25</v>
      </c>
      <c r="D82" s="54">
        <f t="shared" si="23"/>
        <v>96756.61</v>
      </c>
      <c r="E82" s="54">
        <f t="shared" si="19"/>
        <v>96735.497223890605</v>
      </c>
      <c r="F82" s="115">
        <f t="shared" si="18"/>
        <v>-168.84</v>
      </c>
      <c r="G82" s="51">
        <f>NETWORKDAYS(A82,B82-1,Feriados!$A$2:$A$2000)</f>
        <v>172</v>
      </c>
      <c r="H82" s="121">
        <v>5.16</v>
      </c>
      <c r="I82" s="57">
        <v>7.65</v>
      </c>
      <c r="J82" s="53">
        <f t="shared" si="24"/>
        <v>1.0002925627795001</v>
      </c>
      <c r="K82" s="117">
        <f>ROUND(VLOOKUP(A82,'VNA e PRT'!B:G,6,FALSE),2)</f>
        <v>6071.07</v>
      </c>
      <c r="L82" s="117">
        <f>ROUND(VLOOKUP(A82,'VNA e PRT'!B:G,3,FALSE),2)</f>
        <v>1.08</v>
      </c>
      <c r="M82" s="113">
        <f t="shared" si="20"/>
        <v>1.0005108792561599</v>
      </c>
      <c r="N82" s="113">
        <f t="shared" si="21"/>
        <v>0.9997817949997484</v>
      </c>
      <c r="O82" s="70">
        <f t="shared" si="22"/>
        <v>145193.58100661988</v>
      </c>
      <c r="P82" s="70">
        <f t="shared" si="25"/>
        <v>143747.59798945117</v>
      </c>
      <c r="Q82" s="70">
        <f t="shared" si="26"/>
        <v>146639.56402378864</v>
      </c>
      <c r="S82" s="57">
        <v>5.16</v>
      </c>
      <c r="T82" s="57">
        <v>7.65</v>
      </c>
      <c r="AA82" s="197"/>
    </row>
    <row r="83" spans="1:27" ht="15" x14ac:dyDescent="0.3">
      <c r="A83" s="60">
        <v>44540</v>
      </c>
      <c r="B83" s="60">
        <v>44788</v>
      </c>
      <c r="C83" s="54">
        <f t="shared" si="17"/>
        <v>96606.14</v>
      </c>
      <c r="D83" s="54">
        <f t="shared" si="23"/>
        <v>96624.25</v>
      </c>
      <c r="E83" s="54">
        <f t="shared" si="19"/>
        <v>96715.016599471448</v>
      </c>
      <c r="F83" s="115">
        <f t="shared" si="18"/>
        <v>-165.15</v>
      </c>
      <c r="G83" s="51">
        <f>NETWORKDAYS(A83,B83-1,Feriados!$A$2:$A$2000)</f>
        <v>171</v>
      </c>
      <c r="H83" s="121">
        <v>5.22</v>
      </c>
      <c r="I83" s="57">
        <v>9.15</v>
      </c>
      <c r="J83" s="53">
        <f t="shared" si="24"/>
        <v>1.00034749249252</v>
      </c>
      <c r="K83" s="117">
        <f>ROUND(VLOOKUP(A83,'VNA e PRT'!B:G,6,FALSE),2)</f>
        <v>6067.48</v>
      </c>
      <c r="L83" s="117">
        <f>ROUND(VLOOKUP(A83,'VNA e PRT'!B:G,3,FALSE),2)</f>
        <v>0.95</v>
      </c>
      <c r="M83" s="113">
        <f t="shared" si="20"/>
        <v>0.99940867095915498</v>
      </c>
      <c r="N83" s="113">
        <f t="shared" si="21"/>
        <v>1.0009393770142738</v>
      </c>
      <c r="O83" s="70">
        <f t="shared" si="22"/>
        <v>145236.05924424474</v>
      </c>
      <c r="P83" s="70">
        <f t="shared" si="25"/>
        <v>143954.8031862654</v>
      </c>
      <c r="Q83" s="70">
        <f t="shared" si="26"/>
        <v>146517.31530222413</v>
      </c>
      <c r="S83" s="57">
        <v>5.22</v>
      </c>
      <c r="T83" s="57">
        <v>9.15</v>
      </c>
      <c r="AA83" s="197"/>
    </row>
    <row r="84" spans="1:27" ht="15" x14ac:dyDescent="0.3">
      <c r="A84" s="60">
        <v>44543</v>
      </c>
      <c r="B84" s="60">
        <v>44788</v>
      </c>
      <c r="C84" s="54">
        <f t="shared" si="17"/>
        <v>96607.07</v>
      </c>
      <c r="D84" s="54">
        <f t="shared" si="23"/>
        <v>96606.14</v>
      </c>
      <c r="E84" s="54">
        <f t="shared" si="19"/>
        <v>96596.088292500717</v>
      </c>
      <c r="F84" s="115">
        <f t="shared" si="18"/>
        <v>16.66</v>
      </c>
      <c r="G84" s="51">
        <f>NETWORKDAYS(A84,B84-1,Feriados!$A$2:$A$2000)</f>
        <v>170</v>
      </c>
      <c r="H84" s="121">
        <v>5.25</v>
      </c>
      <c r="I84" s="57">
        <v>9.15</v>
      </c>
      <c r="J84" s="53">
        <f t="shared" si="24"/>
        <v>1.00034749249252</v>
      </c>
      <c r="K84" s="117">
        <f>ROUND(VLOOKUP(A84,'VNA e PRT'!B:G,6,FALSE),2)</f>
        <v>6070.22</v>
      </c>
      <c r="L84" s="117">
        <f>ROUND(VLOOKUP(A84,'VNA e PRT'!B:G,3,FALSE),2)</f>
        <v>0.95</v>
      </c>
      <c r="M84" s="113">
        <f t="shared" si="20"/>
        <v>1.00045158780911</v>
      </c>
      <c r="N84" s="113">
        <f t="shared" si="21"/>
        <v>0.99989595167036716</v>
      </c>
      <c r="O84" s="70">
        <f t="shared" si="22"/>
        <v>145286.5276844753</v>
      </c>
      <c r="P84" s="70">
        <f t="shared" si="25"/>
        <v>143988.16639963482</v>
      </c>
      <c r="Q84" s="70">
        <f t="shared" si="26"/>
        <v>146584.88896931583</v>
      </c>
      <c r="S84" s="57">
        <v>5.25</v>
      </c>
      <c r="T84" s="57">
        <v>9.15</v>
      </c>
      <c r="AA84" s="197"/>
    </row>
    <row r="85" spans="1:27" ht="15" x14ac:dyDescent="0.3">
      <c r="A85" s="60">
        <v>44544</v>
      </c>
      <c r="B85" s="60">
        <v>44788</v>
      </c>
      <c r="C85" s="54">
        <f t="shared" si="17"/>
        <v>96497.61</v>
      </c>
      <c r="D85" s="54">
        <f t="shared" si="23"/>
        <v>96607.07</v>
      </c>
      <c r="E85" s="54">
        <f t="shared" si="19"/>
        <v>96597.196938284484</v>
      </c>
      <c r="F85" s="115">
        <f t="shared" si="18"/>
        <v>-151.19</v>
      </c>
      <c r="G85" s="51">
        <f>NETWORKDAYS(A85,B85-1,Feriados!$A$2:$A$2000)</f>
        <v>169</v>
      </c>
      <c r="H85" s="121">
        <v>5.46</v>
      </c>
      <c r="I85" s="57">
        <v>9.15</v>
      </c>
      <c r="J85" s="53">
        <f t="shared" si="24"/>
        <v>1.00034749249252</v>
      </c>
      <c r="K85" s="117">
        <f>ROUND(VLOOKUP(A85,'VNA e PRT'!B:G,6,FALSE),2)</f>
        <v>6072.95</v>
      </c>
      <c r="L85" s="117">
        <f>ROUND(VLOOKUP(A85,'VNA e PRT'!B:G,3,FALSE),2)</f>
        <v>0.95</v>
      </c>
      <c r="M85" s="113">
        <f t="shared" si="20"/>
        <v>1.00044973658286</v>
      </c>
      <c r="N85" s="113">
        <f t="shared" si="21"/>
        <v>0.99989780187189692</v>
      </c>
      <c r="O85" s="70">
        <f t="shared" si="22"/>
        <v>145337.01366210994</v>
      </c>
      <c r="P85" s="70">
        <f t="shared" si="25"/>
        <v>144189.39120647041</v>
      </c>
      <c r="Q85" s="70">
        <f t="shared" si="26"/>
        <v>146484.63611774953</v>
      </c>
      <c r="S85" s="57">
        <v>5.46</v>
      </c>
      <c r="T85" s="57">
        <v>9.15</v>
      </c>
      <c r="AA85" s="197"/>
    </row>
    <row r="86" spans="1:27" ht="15" x14ac:dyDescent="0.3">
      <c r="A86" s="60">
        <v>44545</v>
      </c>
      <c r="B86" s="60">
        <v>44788</v>
      </c>
      <c r="C86" s="54">
        <f t="shared" si="17"/>
        <v>96511.86</v>
      </c>
      <c r="D86" s="54">
        <f t="shared" si="23"/>
        <v>96497.61</v>
      </c>
      <c r="E86" s="54">
        <f t="shared" si="19"/>
        <v>96487.608813691084</v>
      </c>
      <c r="F86" s="115">
        <f t="shared" si="18"/>
        <v>36.83</v>
      </c>
      <c r="G86" s="51">
        <f>NETWORKDAYS(A86,B86-1,Feriados!$A$2:$A$2000)</f>
        <v>168</v>
      </c>
      <c r="H86" s="121">
        <v>5.47</v>
      </c>
      <c r="I86" s="57">
        <v>9.15</v>
      </c>
      <c r="J86" s="53">
        <f t="shared" si="24"/>
        <v>1.00034749249252</v>
      </c>
      <c r="K86" s="117">
        <f>ROUND(VLOOKUP(A86,'VNA e PRT'!B:G,6,FALSE),2)</f>
        <v>6075.69</v>
      </c>
      <c r="L86" s="117">
        <f>ROUND(VLOOKUP(A86,'VNA e PRT'!B:G,3,FALSE),2)</f>
        <v>0.95</v>
      </c>
      <c r="M86" s="113">
        <f t="shared" si="20"/>
        <v>1.0004511810569801</v>
      </c>
      <c r="N86" s="113">
        <f t="shared" si="21"/>
        <v>0.99989635819675826</v>
      </c>
      <c r="O86" s="70">
        <f t="shared" si="22"/>
        <v>145387.5171832428</v>
      </c>
      <c r="P86" s="70">
        <f t="shared" si="25"/>
        <v>144202.6659374157</v>
      </c>
      <c r="Q86" s="70">
        <f t="shared" si="26"/>
        <v>146572.36842906996</v>
      </c>
      <c r="S86" s="57">
        <v>5.47</v>
      </c>
      <c r="T86" s="57">
        <v>9.15</v>
      </c>
      <c r="AA86" s="197"/>
    </row>
    <row r="87" spans="1:27" ht="15" x14ac:dyDescent="0.3">
      <c r="A87" s="60">
        <v>44546</v>
      </c>
      <c r="B87" s="60">
        <v>44788</v>
      </c>
      <c r="C87" s="54">
        <f t="shared" si="17"/>
        <v>96441.39</v>
      </c>
      <c r="D87" s="54">
        <f t="shared" si="23"/>
        <v>96511.86</v>
      </c>
      <c r="E87" s="54">
        <f t="shared" si="19"/>
        <v>96516.644013291312</v>
      </c>
      <c r="F87" s="115">
        <f t="shared" si="18"/>
        <v>-114.33</v>
      </c>
      <c r="G87" s="51">
        <f>NETWORKDAYS(A87,B87-1,Feriados!$A$2:$A$2000)</f>
        <v>167</v>
      </c>
      <c r="H87" s="121">
        <v>5.62</v>
      </c>
      <c r="I87" s="57">
        <v>9.15</v>
      </c>
      <c r="J87" s="53">
        <f t="shared" si="24"/>
        <v>1.00034749249252</v>
      </c>
      <c r="K87" s="117">
        <f>ROUND(VLOOKUP(A87,'VNA e PRT'!B:G,6,FALSE),2)</f>
        <v>6077.5</v>
      </c>
      <c r="L87" s="117">
        <f>ROUND(VLOOKUP(A87,'VNA e PRT'!B:G,3,FALSE),2)</f>
        <v>0.69</v>
      </c>
      <c r="M87" s="113">
        <f t="shared" si="20"/>
        <v>1.0002979085503001</v>
      </c>
      <c r="N87" s="113">
        <f t="shared" si="21"/>
        <v>1.0000495691751388</v>
      </c>
      <c r="O87" s="70">
        <f t="shared" si="22"/>
        <v>145438.03825397009</v>
      </c>
      <c r="P87" s="70">
        <f t="shared" si="25"/>
        <v>144367.1052812303</v>
      </c>
      <c r="Q87" s="70">
        <f t="shared" si="26"/>
        <v>146508.97122670995</v>
      </c>
      <c r="S87" s="57">
        <v>5.62</v>
      </c>
      <c r="T87" s="57">
        <v>9.15</v>
      </c>
      <c r="AA87" s="197"/>
    </row>
    <row r="88" spans="1:27" ht="15" x14ac:dyDescent="0.3">
      <c r="A88" s="60">
        <v>44547</v>
      </c>
      <c r="B88" s="60">
        <v>44788</v>
      </c>
      <c r="C88" s="54">
        <f t="shared" si="17"/>
        <v>96402.2</v>
      </c>
      <c r="D88" s="54">
        <f t="shared" si="23"/>
        <v>96441.39</v>
      </c>
      <c r="E88" s="54">
        <f t="shared" si="19"/>
        <v>96446.020428276854</v>
      </c>
      <c r="F88" s="115">
        <f t="shared" si="18"/>
        <v>-66.59</v>
      </c>
      <c r="G88" s="51">
        <f>NETWORKDAYS(A88,B88-1,Feriados!$A$2:$A$2000)</f>
        <v>166</v>
      </c>
      <c r="H88" s="121">
        <v>5.72</v>
      </c>
      <c r="I88" s="57">
        <v>9.15</v>
      </c>
      <c r="J88" s="53">
        <f t="shared" si="24"/>
        <v>1.00034749249252</v>
      </c>
      <c r="K88" s="117">
        <f>ROUND(VLOOKUP(A88,'VNA e PRT'!B:G,6,FALSE),2)</f>
        <v>6079.32</v>
      </c>
      <c r="L88" s="117">
        <f>ROUND(VLOOKUP(A88,'VNA e PRT'!B:G,3,FALSE),2)</f>
        <v>0.69</v>
      </c>
      <c r="M88" s="113">
        <f t="shared" si="20"/>
        <v>1.0002994652406401</v>
      </c>
      <c r="N88" s="113">
        <f t="shared" si="21"/>
        <v>1.000048012873693</v>
      </c>
      <c r="O88" s="70">
        <f t="shared" si="22"/>
        <v>145488.57688039017</v>
      </c>
      <c r="P88" s="70">
        <f t="shared" si="25"/>
        <v>144483.86176648235</v>
      </c>
      <c r="Q88" s="70">
        <f t="shared" si="26"/>
        <v>146493.29199429805</v>
      </c>
      <c r="S88" s="57">
        <v>5.72</v>
      </c>
      <c r="T88" s="57">
        <v>9.15</v>
      </c>
      <c r="AA88" s="197"/>
    </row>
    <row r="89" spans="1:27" ht="15" x14ac:dyDescent="0.3">
      <c r="A89" s="60">
        <v>44550</v>
      </c>
      <c r="B89" s="60">
        <v>44788</v>
      </c>
      <c r="C89" s="54">
        <f t="shared" si="17"/>
        <v>96292.33</v>
      </c>
      <c r="D89" s="54">
        <f t="shared" si="23"/>
        <v>96402.2</v>
      </c>
      <c r="E89" s="54">
        <f t="shared" si="19"/>
        <v>96406.837187186495</v>
      </c>
      <c r="F89" s="115">
        <f t="shared" si="18"/>
        <v>-174.08</v>
      </c>
      <c r="G89" s="51">
        <f>NETWORKDAYS(A89,B89-1,Feriados!$A$2:$A$2000)</f>
        <v>165</v>
      </c>
      <c r="H89" s="121">
        <v>5.94</v>
      </c>
      <c r="I89" s="57">
        <v>9.15</v>
      </c>
      <c r="J89" s="53">
        <f t="shared" si="24"/>
        <v>1.00034749249252</v>
      </c>
      <c r="K89" s="117">
        <f>ROUND(VLOOKUP(A89,'VNA e PRT'!B:G,6,FALSE),2)</f>
        <v>6081.14</v>
      </c>
      <c r="L89" s="117">
        <f>ROUND(VLOOKUP(A89,'VNA e PRT'!B:G,3,FALSE),2)</f>
        <v>0.69</v>
      </c>
      <c r="M89" s="113">
        <f t="shared" si="20"/>
        <v>1.00029937558806</v>
      </c>
      <c r="N89" s="113">
        <f t="shared" si="21"/>
        <v>1.0000481025037447</v>
      </c>
      <c r="O89" s="70">
        <f t="shared" si="22"/>
        <v>145539.13306860352</v>
      </c>
      <c r="P89" s="70">
        <f t="shared" si="25"/>
        <v>144708.1488237365</v>
      </c>
      <c r="Q89" s="70">
        <f t="shared" si="26"/>
        <v>146370.11731347063</v>
      </c>
      <c r="S89" s="57">
        <v>5.94</v>
      </c>
      <c r="T89" s="57">
        <v>9.15</v>
      </c>
      <c r="AA89" s="197"/>
    </row>
    <row r="90" spans="1:27" ht="15" x14ac:dyDescent="0.3">
      <c r="A90" s="60">
        <v>44551</v>
      </c>
      <c r="B90" s="60">
        <v>44788</v>
      </c>
      <c r="C90" s="54">
        <f t="shared" si="17"/>
        <v>96320.3</v>
      </c>
      <c r="D90" s="54">
        <f t="shared" si="23"/>
        <v>96292.33</v>
      </c>
      <c r="E90" s="54">
        <f t="shared" si="19"/>
        <v>96296.970527686688</v>
      </c>
      <c r="F90" s="115">
        <f t="shared" si="18"/>
        <v>35.47</v>
      </c>
      <c r="G90" s="51">
        <f>NETWORKDAYS(A90,B90-1,Feriados!$A$2:$A$2000)</f>
        <v>164</v>
      </c>
      <c r="H90" s="121">
        <v>5.93</v>
      </c>
      <c r="I90" s="57">
        <v>9.15</v>
      </c>
      <c r="J90" s="53">
        <f t="shared" si="24"/>
        <v>1.00034749249252</v>
      </c>
      <c r="K90" s="117">
        <f>ROUND(VLOOKUP(A90,'VNA e PRT'!B:G,6,FALSE),2)</f>
        <v>6082.96</v>
      </c>
      <c r="L90" s="117">
        <f>ROUND(VLOOKUP(A90,'VNA e PRT'!B:G,3,FALSE),2)</f>
        <v>0.69</v>
      </c>
      <c r="M90" s="113">
        <f t="shared" si="20"/>
        <v>1.00029928598914</v>
      </c>
      <c r="N90" s="113">
        <f t="shared" si="21"/>
        <v>1.0000481920801656</v>
      </c>
      <c r="O90" s="70">
        <f t="shared" si="22"/>
        <v>145589.70682471272</v>
      </c>
      <c r="P90" s="70">
        <f t="shared" si="25"/>
        <v>144722.96381905919</v>
      </c>
      <c r="Q90" s="70">
        <f t="shared" si="26"/>
        <v>146456.44983036633</v>
      </c>
      <c r="S90" s="57">
        <v>5.93</v>
      </c>
      <c r="T90" s="57">
        <v>9.15</v>
      </c>
      <c r="AA90" s="197"/>
    </row>
    <row r="91" spans="1:27" ht="15" x14ac:dyDescent="0.3">
      <c r="A91" s="60">
        <v>44552</v>
      </c>
      <c r="B91" s="60">
        <v>44788</v>
      </c>
      <c r="C91" s="54">
        <f t="shared" si="17"/>
        <v>96324.67</v>
      </c>
      <c r="D91" s="54">
        <f t="shared" si="23"/>
        <v>96320.3</v>
      </c>
      <c r="E91" s="54">
        <f t="shared" si="19"/>
        <v>96325.108803483949</v>
      </c>
      <c r="F91" s="115">
        <f t="shared" si="18"/>
        <v>-0.66</v>
      </c>
      <c r="G91" s="51">
        <f>NETWORKDAYS(A91,B91-1,Feriados!$A$2:$A$2000)</f>
        <v>163</v>
      </c>
      <c r="H91" s="121">
        <v>5.96</v>
      </c>
      <c r="I91" s="57">
        <v>9.15</v>
      </c>
      <c r="J91" s="53">
        <f t="shared" si="24"/>
        <v>1.00034749249252</v>
      </c>
      <c r="K91" s="117">
        <f>ROUND(VLOOKUP(A91,'VNA e PRT'!B:G,6,FALSE),2)</f>
        <v>6084.77</v>
      </c>
      <c r="L91" s="117">
        <f>ROUND(VLOOKUP(A91,'VNA e PRT'!B:G,3,FALSE),2)</f>
        <v>0.69</v>
      </c>
      <c r="M91" s="113">
        <f t="shared" si="20"/>
        <v>1.0002975525073301</v>
      </c>
      <c r="N91" s="113">
        <f t="shared" si="21"/>
        <v>1.0000499251298423</v>
      </c>
      <c r="O91" s="70">
        <f t="shared" si="22"/>
        <v>145640.29815482249</v>
      </c>
      <c r="P91" s="70">
        <f t="shared" si="25"/>
        <v>144773.91396248157</v>
      </c>
      <c r="Q91" s="70">
        <f t="shared" si="26"/>
        <v>146506.6823471635</v>
      </c>
      <c r="S91" s="57">
        <v>5.96</v>
      </c>
      <c r="T91" s="57">
        <v>9.15</v>
      </c>
      <c r="AA91" s="197"/>
    </row>
    <row r="92" spans="1:27" ht="15" x14ac:dyDescent="0.3">
      <c r="A92" s="60">
        <v>44553</v>
      </c>
      <c r="B92" s="60">
        <v>44788</v>
      </c>
      <c r="C92" s="54">
        <f t="shared" si="17"/>
        <v>96417.01</v>
      </c>
      <c r="D92" s="54">
        <f t="shared" si="23"/>
        <v>96324.67</v>
      </c>
      <c r="E92" s="54">
        <f t="shared" si="19"/>
        <v>96329.329280238002</v>
      </c>
      <c r="F92" s="115">
        <f t="shared" si="18"/>
        <v>133.41</v>
      </c>
      <c r="G92" s="51">
        <f>NETWORKDAYS(A92,B92-1,Feriados!$A$2:$A$2000)</f>
        <v>162</v>
      </c>
      <c r="H92" s="121">
        <v>5.84</v>
      </c>
      <c r="I92" s="57">
        <v>9.15</v>
      </c>
      <c r="J92" s="53">
        <f t="shared" si="24"/>
        <v>1.00034749249252</v>
      </c>
      <c r="K92" s="117">
        <f>ROUND(VLOOKUP(A92,'VNA e PRT'!B:G,6,FALSE),2)</f>
        <v>6086.59</v>
      </c>
      <c r="L92" s="117">
        <f>ROUND(VLOOKUP(A92,'VNA e PRT'!B:G,3,FALSE),2)</f>
        <v>0.69</v>
      </c>
      <c r="M92" s="113">
        <f t="shared" si="20"/>
        <v>1.00029910744367</v>
      </c>
      <c r="N92" s="113">
        <f t="shared" si="21"/>
        <v>1.0000483705808492</v>
      </c>
      <c r="O92" s="70">
        <f t="shared" si="22"/>
        <v>145690.90706503968</v>
      </c>
      <c r="P92" s="70">
        <f t="shared" si="25"/>
        <v>144690.81181069626</v>
      </c>
      <c r="Q92" s="70">
        <f t="shared" si="26"/>
        <v>146691.00231938314</v>
      </c>
      <c r="S92" s="57">
        <v>5.84</v>
      </c>
      <c r="T92" s="57">
        <v>9.15</v>
      </c>
      <c r="AA92" s="197"/>
    </row>
    <row r="93" spans="1:27" ht="14.4" x14ac:dyDescent="0.3">
      <c r="A93" s="212">
        <v>44554</v>
      </c>
      <c r="B93" s="212">
        <v>44788</v>
      </c>
      <c r="C93" s="213">
        <f t="shared" ref="C93" si="27">+ROUND((100000/(1+H93/100)^(G93/252)),2)</f>
        <v>96438.73</v>
      </c>
      <c r="D93" s="213">
        <f t="shared" si="23"/>
        <v>96417.01</v>
      </c>
      <c r="E93" s="213">
        <f t="shared" ref="E93" si="28">D93*N93</f>
        <v>96441.957892508042</v>
      </c>
      <c r="F93" s="213">
        <f t="shared" si="18"/>
        <v>-4.91</v>
      </c>
      <c r="G93" s="214">
        <f>NETWORKDAYS(A93,B93-1,Feriados!$A$2:$A$2000)</f>
        <v>161</v>
      </c>
      <c r="H93" s="200">
        <f>+H92</f>
        <v>5.84</v>
      </c>
      <c r="I93" s="201">
        <f>+I92</f>
        <v>9.15</v>
      </c>
      <c r="J93" s="215">
        <f t="shared" ref="J93" si="29">ROUND(+(1+I93/100)^(1/252),100)</f>
        <v>1.00034749249252</v>
      </c>
      <c r="K93" s="216">
        <f>ROUND(VLOOKUP(A93,'VNA e PRT'!B:G,6,FALSE),2)</f>
        <v>6087.13</v>
      </c>
      <c r="L93" s="216">
        <f>ROUND(VLOOKUP(A93,'VNA e PRT'!B:G,3,FALSE),2)</f>
        <v>0.62</v>
      </c>
      <c r="M93" s="217">
        <f t="shared" ref="M93:M94" si="30">ROUND(K93/K92,100)</f>
        <v>1.0000887196279</v>
      </c>
      <c r="N93" s="217">
        <f t="shared" ref="N93:N94" si="31">+J93/M93</f>
        <v>1.0002587499084243</v>
      </c>
      <c r="O93" s="218">
        <f t="shared" ref="O93:O94" si="32">+O92*J92</f>
        <v>145741.53356147319</v>
      </c>
      <c r="P93" s="218">
        <f t="shared" ref="P93:P94" si="33">+(P92*J92)-F93</f>
        <v>144746.00078153709</v>
      </c>
      <c r="Q93" s="218">
        <f t="shared" ref="Q93:Q94" si="34">+(Q92*J92)+F93</f>
        <v>146737.06634140934</v>
      </c>
      <c r="R93" s="199"/>
      <c r="S93" s="198">
        <v>5.84</v>
      </c>
      <c r="T93" s="198">
        <v>9.15</v>
      </c>
      <c r="AA93" s="197"/>
    </row>
    <row r="94" spans="1:27" ht="15" x14ac:dyDescent="0.3">
      <c r="A94" s="60">
        <v>44557</v>
      </c>
      <c r="B94" s="60">
        <v>44788</v>
      </c>
      <c r="C94" s="54">
        <f t="shared" si="17"/>
        <v>96466.240000000005</v>
      </c>
      <c r="D94" s="54">
        <f t="shared" si="23"/>
        <v>96438.73</v>
      </c>
      <c r="E94" s="54">
        <f t="shared" si="19"/>
        <v>96446.415498446382</v>
      </c>
      <c r="F94" s="115">
        <f t="shared" si="18"/>
        <v>30.17</v>
      </c>
      <c r="G94" s="51">
        <f>NETWORKDAYS(A94,B94-1,Feriados!$A$2:$A$2000)</f>
        <v>160</v>
      </c>
      <c r="H94" s="121">
        <v>5.83</v>
      </c>
      <c r="I94" s="57">
        <v>9.15</v>
      </c>
      <c r="J94" s="53">
        <f t="shared" si="24"/>
        <v>1.00034749249252</v>
      </c>
      <c r="K94" s="117">
        <f>ROUND(VLOOKUP(A94,'VNA e PRT'!B:G,6,FALSE),2)</f>
        <v>6088.76</v>
      </c>
      <c r="L94" s="117">
        <f>ROUND(VLOOKUP(A94,'VNA e PRT'!B:G,3,FALSE),2)</f>
        <v>0.62</v>
      </c>
      <c r="M94" s="113">
        <f t="shared" si="30"/>
        <v>1.0002677780826099</v>
      </c>
      <c r="N94" s="113">
        <f t="shared" si="31"/>
        <v>1.0000796930698526</v>
      </c>
      <c r="O94" s="70">
        <f t="shared" si="32"/>
        <v>145792.17765023414</v>
      </c>
      <c r="P94" s="70">
        <f t="shared" si="33"/>
        <v>144766.12893013094</v>
      </c>
      <c r="Q94" s="70">
        <f t="shared" si="34"/>
        <v>146818.22637033739</v>
      </c>
      <c r="S94" s="57">
        <v>5.83</v>
      </c>
      <c r="T94" s="57">
        <v>9.15</v>
      </c>
      <c r="AA94" s="197"/>
    </row>
    <row r="95" spans="1:27" ht="15" x14ac:dyDescent="0.3">
      <c r="A95" s="60">
        <v>44558</v>
      </c>
      <c r="B95" s="60">
        <v>44788</v>
      </c>
      <c r="C95" s="54">
        <f t="shared" si="17"/>
        <v>96539.75</v>
      </c>
      <c r="D95" s="54">
        <f t="shared" si="23"/>
        <v>96466.240000000005</v>
      </c>
      <c r="E95" s="54">
        <f t="shared" si="19"/>
        <v>96473.776201490764</v>
      </c>
      <c r="F95" s="115">
        <f t="shared" si="18"/>
        <v>100.45</v>
      </c>
      <c r="G95" s="51">
        <f>NETWORKDAYS(A95,B95-1,Feriados!$A$2:$A$2000)</f>
        <v>159</v>
      </c>
      <c r="H95" s="121">
        <v>5.74</v>
      </c>
      <c r="I95" s="57">
        <v>9.15</v>
      </c>
      <c r="J95" s="53">
        <f t="shared" si="24"/>
        <v>1.00034749249252</v>
      </c>
      <c r="K95" s="117">
        <f>ROUND(VLOOKUP(A95,'VNA e PRT'!B:G,6,FALSE),2)</f>
        <v>6090.4</v>
      </c>
      <c r="L95" s="117">
        <f>ROUND(VLOOKUP(A95,'VNA e PRT'!B:G,3,FALSE),2)</f>
        <v>0.62</v>
      </c>
      <c r="M95" s="113">
        <f t="shared" si="20"/>
        <v>1.0002693487672401</v>
      </c>
      <c r="N95" s="113">
        <f t="shared" si="21"/>
        <v>1.0000781226830315</v>
      </c>
      <c r="O95" s="70">
        <f t="shared" ref="O95" si="35">+O94*J94</f>
        <v>145842.83933743573</v>
      </c>
      <c r="P95" s="70">
        <f t="shared" ref="P95" si="36">+(P94*J94)-F95</f>
        <v>144715.98407310533</v>
      </c>
      <c r="Q95" s="70">
        <f t="shared" ref="Q95" si="37">+(Q94*J94)+F95</f>
        <v>146969.69460176618</v>
      </c>
      <c r="S95" s="57">
        <v>5.74</v>
      </c>
      <c r="T95" s="57">
        <v>9.15</v>
      </c>
      <c r="AA95" s="197"/>
    </row>
    <row r="96" spans="1:27" ht="15" x14ac:dyDescent="0.3">
      <c r="A96" s="60">
        <v>44559</v>
      </c>
      <c r="B96" s="60">
        <v>44788</v>
      </c>
      <c r="C96" s="54">
        <f t="shared" si="17"/>
        <v>96566.86</v>
      </c>
      <c r="D96" s="54">
        <f t="shared" si="23"/>
        <v>96539.75</v>
      </c>
      <c r="E96" s="54">
        <f t="shared" si="19"/>
        <v>96547.298944904833</v>
      </c>
      <c r="F96" s="115">
        <f t="shared" si="18"/>
        <v>29.79</v>
      </c>
      <c r="G96" s="51">
        <f>NETWORKDAYS(A96,B96-1,Feriados!$A$2:$A$2000)</f>
        <v>158</v>
      </c>
      <c r="H96" s="121">
        <v>5.73</v>
      </c>
      <c r="I96" s="57">
        <v>9.15</v>
      </c>
      <c r="J96" s="53">
        <f t="shared" si="24"/>
        <v>1.00034749249252</v>
      </c>
      <c r="K96" s="117">
        <f>ROUND(VLOOKUP(A96,'VNA e PRT'!B:G,6,FALSE),2)</f>
        <v>6092.04</v>
      </c>
      <c r="L96" s="117">
        <f>ROUND(VLOOKUP(A96,'VNA e PRT'!B:G,3,FALSE),2)</f>
        <v>0.62</v>
      </c>
      <c r="M96" s="113">
        <f t="shared" si="20"/>
        <v>1.0002692762380101</v>
      </c>
      <c r="N96" s="113">
        <f t="shared" si="21"/>
        <v>1.000078195198401</v>
      </c>
      <c r="O96" s="70">
        <f t="shared" si="22"/>
        <v>145893.51862919328</v>
      </c>
      <c r="P96" s="70">
        <f t="shared" si="25"/>
        <v>144736.48179111836</v>
      </c>
      <c r="Q96" s="70">
        <f t="shared" si="26"/>
        <v>147050.55546726825</v>
      </c>
      <c r="S96" s="57">
        <v>5.73</v>
      </c>
      <c r="T96" s="57">
        <v>9.15</v>
      </c>
      <c r="AA96" s="197"/>
    </row>
    <row r="97" spans="1:27" ht="15" x14ac:dyDescent="0.3">
      <c r="A97" s="60">
        <v>44560</v>
      </c>
      <c r="B97" s="60">
        <v>44788</v>
      </c>
      <c r="C97" s="54">
        <f t="shared" si="17"/>
        <v>96662.27</v>
      </c>
      <c r="D97" s="54">
        <f t="shared" si="23"/>
        <v>96566.86</v>
      </c>
      <c r="E97" s="54">
        <f t="shared" si="19"/>
        <v>96574.576546765224</v>
      </c>
      <c r="F97" s="115">
        <f t="shared" si="18"/>
        <v>133.59</v>
      </c>
      <c r="G97" s="51">
        <f>NETWORKDAYS(A97,B97-1,Feriados!$A$2:$A$2000)</f>
        <v>157</v>
      </c>
      <c r="H97" s="121">
        <v>5.6</v>
      </c>
      <c r="I97" s="57">
        <v>9.15</v>
      </c>
      <c r="J97" s="53">
        <f t="shared" si="24"/>
        <v>1.00034749249252</v>
      </c>
      <c r="K97" s="117">
        <f>ROUND(VLOOKUP(A97,'VNA e PRT'!B:G,6,FALSE),2)</f>
        <v>6093.67</v>
      </c>
      <c r="L97" s="117">
        <f>ROUND(VLOOKUP(A97,'VNA e PRT'!B:G,3,FALSE),2)</f>
        <v>0.62</v>
      </c>
      <c r="M97" s="113">
        <f t="shared" si="20"/>
        <v>1.00026756226157</v>
      </c>
      <c r="N97" s="113">
        <f t="shared" si="21"/>
        <v>1.0000799088503574</v>
      </c>
      <c r="O97" s="70">
        <f t="shared" si="22"/>
        <v>145944.21553162424</v>
      </c>
      <c r="P97" s="70">
        <f t="shared" si="25"/>
        <v>144653.18663193454</v>
      </c>
      <c r="Q97" s="70">
        <f t="shared" si="26"/>
        <v>147235.244431314</v>
      </c>
      <c r="S97" s="57">
        <v>5.6</v>
      </c>
      <c r="T97" s="57">
        <v>9.15</v>
      </c>
      <c r="AA97" s="197"/>
    </row>
    <row r="98" spans="1:27" ht="14.4" x14ac:dyDescent="0.3">
      <c r="A98" s="212">
        <v>44561</v>
      </c>
      <c r="B98" s="212">
        <v>44788</v>
      </c>
      <c r="C98" s="213">
        <f t="shared" si="17"/>
        <v>96683.18</v>
      </c>
      <c r="D98" s="213">
        <f t="shared" ref="D98" si="38">+C97</f>
        <v>96662.27</v>
      </c>
      <c r="E98" s="213">
        <f t="shared" si="19"/>
        <v>96669.842490380441</v>
      </c>
      <c r="F98" s="213">
        <f t="shared" si="18"/>
        <v>20.32</v>
      </c>
      <c r="G98" s="214">
        <f>NETWORKDAYS(A98,B98-1,Feriados!$A$2:$A$2000)</f>
        <v>156</v>
      </c>
      <c r="H98" s="200">
        <f>+H97</f>
        <v>5.6</v>
      </c>
      <c r="I98" s="201">
        <f>+I97</f>
        <v>9.15</v>
      </c>
      <c r="J98" s="215">
        <f t="shared" si="24"/>
        <v>1.00034749249252</v>
      </c>
      <c r="K98" s="216">
        <f>ROUND(VLOOKUP(A98,'VNA e PRT'!B:G,6,FALSE),2)</f>
        <v>6095.31</v>
      </c>
      <c r="L98" s="216">
        <f>ROUND(VLOOKUP(A98,'VNA e PRT'!B:G,3,FALSE),2)</f>
        <v>0.62</v>
      </c>
      <c r="M98" s="217">
        <f t="shared" ref="M98:M99" si="39">ROUND(K98/K97,100)</f>
        <v>1.0002691317383401</v>
      </c>
      <c r="N98" s="217">
        <f t="shared" ref="N98:N99" si="40">+J98/M98</f>
        <v>1.0000783396704882</v>
      </c>
      <c r="O98" s="218">
        <f t="shared" ref="O98:O99" si="41">+O97*J97</f>
        <v>145994.9300508482</v>
      </c>
      <c r="P98" s="218">
        <f t="shared" ref="P98:P99" si="42">+(P97*J97)-F98</f>
        <v>144683.13252830823</v>
      </c>
      <c r="Q98" s="218">
        <f t="shared" ref="Q98:Q99" si="43">+(Q97*J97)+F98</f>
        <v>147306.72757338823</v>
      </c>
      <c r="R98" s="199"/>
      <c r="S98" s="198">
        <v>5.6</v>
      </c>
      <c r="T98" s="198">
        <v>9.15</v>
      </c>
      <c r="AA98" s="197"/>
    </row>
    <row r="99" spans="1:27" ht="15" x14ac:dyDescent="0.3">
      <c r="A99" s="60">
        <v>44564</v>
      </c>
      <c r="B99" s="60">
        <v>44788</v>
      </c>
      <c r="C99" s="54">
        <f t="shared" si="17"/>
        <v>96816.91</v>
      </c>
      <c r="D99" s="54">
        <f>+C97</f>
        <v>96662.27</v>
      </c>
      <c r="E99" s="54">
        <f t="shared" si="19"/>
        <v>96669.849488592823</v>
      </c>
      <c r="F99" s="115">
        <f t="shared" si="18"/>
        <v>224.15</v>
      </c>
      <c r="G99" s="51">
        <f>NETWORKDAYS(A99,B99-1,Feriados!$A$2:$A$2000)</f>
        <v>155</v>
      </c>
      <c r="H99" s="121">
        <v>5.4</v>
      </c>
      <c r="I99" s="57">
        <v>9.15</v>
      </c>
      <c r="J99" s="53">
        <f t="shared" si="24"/>
        <v>1.00034749249252</v>
      </c>
      <c r="K99" s="117">
        <f>ROUND(VLOOKUP(A99,'VNA e PRT'!B:G,6,FALSE),2)</f>
        <v>6096.95</v>
      </c>
      <c r="L99" s="117">
        <f>ROUND(VLOOKUP(A99,'VNA e PRT'!B:G,3,FALSE),2)</f>
        <v>0.62</v>
      </c>
      <c r="M99" s="113">
        <f t="shared" si="39"/>
        <v>1.00026905932594</v>
      </c>
      <c r="N99" s="113">
        <f t="shared" si="40"/>
        <v>1.0000784120690815</v>
      </c>
      <c r="O99" s="70">
        <f t="shared" si="41"/>
        <v>146045.66219298684</v>
      </c>
      <c r="P99" s="70">
        <f t="shared" si="42"/>
        <v>144509.25883065609</v>
      </c>
      <c r="Q99" s="70">
        <f t="shared" si="43"/>
        <v>147582.06555531765</v>
      </c>
      <c r="S99" s="57">
        <v>5.4</v>
      </c>
      <c r="T99" s="57">
        <v>9.15</v>
      </c>
      <c r="AA99" s="197"/>
    </row>
    <row r="100" spans="1:27" ht="15" x14ac:dyDescent="0.3">
      <c r="A100" s="60">
        <v>44565</v>
      </c>
      <c r="B100" s="60">
        <v>44788</v>
      </c>
      <c r="C100" s="54">
        <f t="shared" si="17"/>
        <v>96797.84</v>
      </c>
      <c r="D100" s="54">
        <f t="shared" si="23"/>
        <v>96816.91</v>
      </c>
      <c r="E100" s="54">
        <f t="shared" si="19"/>
        <v>96824.508619873988</v>
      </c>
      <c r="F100" s="115">
        <f t="shared" si="18"/>
        <v>-40.659999999999997</v>
      </c>
      <c r="G100" s="51">
        <f>NETWORKDAYS(A100,B100-1,Feriados!$A$2:$A$2000)</f>
        <v>154</v>
      </c>
      <c r="H100" s="121">
        <v>5.47</v>
      </c>
      <c r="I100" s="57">
        <v>9.15</v>
      </c>
      <c r="J100" s="53">
        <f t="shared" si="24"/>
        <v>1.00034749249252</v>
      </c>
      <c r="K100" s="117">
        <f>ROUND(VLOOKUP(A100,'VNA e PRT'!B:G,6,FALSE),2)</f>
        <v>6098.59</v>
      </c>
      <c r="L100" s="117">
        <f>ROUND(VLOOKUP(A100,'VNA e PRT'!B:G,3,FALSE),2)</f>
        <v>0.62</v>
      </c>
      <c r="M100" s="113">
        <f t="shared" si="20"/>
        <v>1.0002689869524899</v>
      </c>
      <c r="N100" s="113">
        <f t="shared" si="21"/>
        <v>1.0000784844287427</v>
      </c>
      <c r="O100" s="70">
        <f t="shared" si="22"/>
        <v>146096.411964164</v>
      </c>
      <c r="P100" s="70">
        <f t="shared" si="25"/>
        <v>144600.13471319937</v>
      </c>
      <c r="Q100" s="70">
        <f t="shared" si="26"/>
        <v>147592.68921512872</v>
      </c>
      <c r="S100" s="57">
        <v>5.47</v>
      </c>
      <c r="T100" s="57">
        <v>9.15</v>
      </c>
      <c r="AA100" s="197"/>
    </row>
    <row r="101" spans="1:27" ht="15" x14ac:dyDescent="0.3">
      <c r="A101" s="60">
        <v>44566</v>
      </c>
      <c r="B101" s="60">
        <v>44788</v>
      </c>
      <c r="C101" s="54">
        <f t="shared" si="17"/>
        <v>96807.15</v>
      </c>
      <c r="D101" s="54">
        <f t="shared" si="23"/>
        <v>96797.84</v>
      </c>
      <c r="E101" s="54">
        <f t="shared" si="19"/>
        <v>96805.444123668203</v>
      </c>
      <c r="F101" s="115">
        <f t="shared" si="18"/>
        <v>2.6</v>
      </c>
      <c r="G101" s="51">
        <f>NETWORKDAYS(A101,B101-1,Feriados!$A$2:$A$2000)</f>
        <v>153</v>
      </c>
      <c r="H101" s="121">
        <v>5.49</v>
      </c>
      <c r="I101" s="57">
        <v>9.15</v>
      </c>
      <c r="J101" s="53">
        <f t="shared" si="24"/>
        <v>1.00034749249252</v>
      </c>
      <c r="K101" s="117">
        <f>ROUND(VLOOKUP(A101,'VNA e PRT'!B:G,6,FALSE),2)</f>
        <v>6100.23</v>
      </c>
      <c r="L101" s="117">
        <f>ROUND(VLOOKUP(A101,'VNA e PRT'!B:G,3,FALSE),2)</f>
        <v>0.62</v>
      </c>
      <c r="M101" s="113">
        <f t="shared" si="20"/>
        <v>1.00026891461797</v>
      </c>
      <c r="N101" s="113">
        <f t="shared" si="21"/>
        <v>1.0000785567494916</v>
      </c>
      <c r="O101" s="70">
        <f t="shared" si="22"/>
        <v>146147.17937050565</v>
      </c>
      <c r="P101" s="70">
        <f t="shared" si="25"/>
        <v>144647.78217442957</v>
      </c>
      <c r="Q101" s="70">
        <f t="shared" si="26"/>
        <v>147646.57656658182</v>
      </c>
      <c r="S101" s="57">
        <v>5.49</v>
      </c>
      <c r="T101" s="57">
        <v>9.15</v>
      </c>
      <c r="AA101" s="197"/>
    </row>
    <row r="102" spans="1:27" ht="15" x14ac:dyDescent="0.3">
      <c r="A102" s="60">
        <v>44567</v>
      </c>
      <c r="B102" s="60">
        <v>44788</v>
      </c>
      <c r="C102" s="54">
        <f t="shared" si="17"/>
        <v>96860.92</v>
      </c>
      <c r="D102" s="54">
        <f t="shared" si="23"/>
        <v>96807.15</v>
      </c>
      <c r="E102" s="54">
        <f t="shared" si="19"/>
        <v>96814.761852434051</v>
      </c>
      <c r="F102" s="115">
        <f t="shared" si="18"/>
        <v>70.41</v>
      </c>
      <c r="G102" s="51">
        <f>NETWORKDAYS(A102,B102-1,Feriados!$A$2:$A$2000)</f>
        <v>152</v>
      </c>
      <c r="H102" s="121">
        <v>5.43</v>
      </c>
      <c r="I102" s="57">
        <v>9.15</v>
      </c>
      <c r="J102" s="53">
        <f t="shared" si="24"/>
        <v>1.00034749249252</v>
      </c>
      <c r="K102" s="117">
        <f>ROUND(VLOOKUP(A102,'VNA e PRT'!B:G,6,FALSE),2)</f>
        <v>6101.87</v>
      </c>
      <c r="L102" s="117">
        <f>ROUND(VLOOKUP(A102,'VNA e PRT'!B:G,3,FALSE),2)</f>
        <v>0.62</v>
      </c>
      <c r="M102" s="113">
        <f t="shared" si="20"/>
        <v>1.00026884232234</v>
      </c>
      <c r="N102" s="113">
        <f t="shared" si="21"/>
        <v>1.0000786290313686</v>
      </c>
      <c r="O102" s="70">
        <f t="shared" si="22"/>
        <v>146197.96441813986</v>
      </c>
      <c r="P102" s="70">
        <f t="shared" si="25"/>
        <v>144627.63619279483</v>
      </c>
      <c r="Q102" s="70">
        <f t="shared" si="26"/>
        <v>147768.29264348498</v>
      </c>
      <c r="S102" s="57">
        <v>5.43</v>
      </c>
      <c r="T102" s="57">
        <v>9.15</v>
      </c>
      <c r="AA102" s="197"/>
    </row>
    <row r="103" spans="1:27" ht="15" x14ac:dyDescent="0.3">
      <c r="A103" s="60">
        <v>44568</v>
      </c>
      <c r="B103" s="60">
        <v>44788</v>
      </c>
      <c r="C103" s="54">
        <f t="shared" si="17"/>
        <v>96826.22</v>
      </c>
      <c r="D103" s="54">
        <f t="shared" si="23"/>
        <v>96860.92</v>
      </c>
      <c r="E103" s="54">
        <f t="shared" si="19"/>
        <v>96868.543077843889</v>
      </c>
      <c r="F103" s="115">
        <f t="shared" si="18"/>
        <v>-64.569999999999993</v>
      </c>
      <c r="G103" s="51">
        <f>NETWORKDAYS(A103,B103-1,Feriados!$A$2:$A$2000)</f>
        <v>151</v>
      </c>
      <c r="H103" s="121">
        <v>5.53</v>
      </c>
      <c r="I103" s="57">
        <v>9.15</v>
      </c>
      <c r="J103" s="53">
        <f t="shared" si="24"/>
        <v>1.00034749249252</v>
      </c>
      <c r="K103" s="117">
        <f>ROUND(VLOOKUP(A103,'VNA e PRT'!B:G,6,FALSE),2)</f>
        <v>6103.51</v>
      </c>
      <c r="L103" s="117">
        <f>ROUND(VLOOKUP(A103,'VNA e PRT'!B:G,3,FALSE),2)</f>
        <v>0.62</v>
      </c>
      <c r="M103" s="113">
        <f t="shared" si="20"/>
        <v>1.0002687700655699</v>
      </c>
      <c r="N103" s="113">
        <f t="shared" si="21"/>
        <v>1.0000787012744035</v>
      </c>
      <c r="O103" s="70">
        <f t="shared" si="22"/>
        <v>146248.76711319687</v>
      </c>
      <c r="P103" s="70">
        <f t="shared" si="25"/>
        <v>144742.46321058273</v>
      </c>
      <c r="Q103" s="70">
        <f t="shared" si="26"/>
        <v>147755.07101581109</v>
      </c>
      <c r="S103" s="57">
        <v>5.53</v>
      </c>
      <c r="T103" s="57">
        <v>9.15</v>
      </c>
      <c r="AA103" s="197"/>
    </row>
    <row r="104" spans="1:27" ht="15" x14ac:dyDescent="0.3">
      <c r="A104" s="60">
        <v>44571</v>
      </c>
      <c r="B104" s="60">
        <v>44788</v>
      </c>
      <c r="C104" s="54">
        <f t="shared" si="17"/>
        <v>97038.6</v>
      </c>
      <c r="D104" s="54">
        <f t="shared" si="23"/>
        <v>96826.22</v>
      </c>
      <c r="E104" s="54">
        <f t="shared" si="19"/>
        <v>96833.847338171588</v>
      </c>
      <c r="F104" s="115">
        <f t="shared" si="18"/>
        <v>312.51</v>
      </c>
      <c r="G104" s="51">
        <f>NETWORKDAYS(A104,B104-1,Feriados!$A$2:$A$2000)</f>
        <v>150</v>
      </c>
      <c r="H104" s="121">
        <v>5.18</v>
      </c>
      <c r="I104" s="57">
        <v>9.15</v>
      </c>
      <c r="J104" s="53">
        <f t="shared" si="24"/>
        <v>1.00034749249252</v>
      </c>
      <c r="K104" s="117">
        <f>ROUND(VLOOKUP(A104,'VNA e PRT'!B:G,6,FALSE),2)</f>
        <v>6105.15</v>
      </c>
      <c r="L104" s="117">
        <f>ROUND(VLOOKUP(A104,'VNA e PRT'!B:G,3,FALSE),2)</f>
        <v>0.62</v>
      </c>
      <c r="M104" s="113">
        <f t="shared" si="20"/>
        <v>1.0002686978476301</v>
      </c>
      <c r="N104" s="113">
        <f t="shared" si="21"/>
        <v>1.0000787734786258</v>
      </c>
      <c r="O104" s="70">
        <f t="shared" si="22"/>
        <v>146299.58746180902</v>
      </c>
      <c r="P104" s="70">
        <f t="shared" si="25"/>
        <v>144480.25012989726</v>
      </c>
      <c r="Q104" s="70">
        <f t="shared" si="26"/>
        <v>148118.92479372086</v>
      </c>
      <c r="S104" s="57">
        <v>5.18</v>
      </c>
      <c r="T104" s="57">
        <v>9.15</v>
      </c>
      <c r="AA104" s="197"/>
    </row>
    <row r="105" spans="1:27" ht="15" x14ac:dyDescent="0.3">
      <c r="A105" s="60">
        <v>44572</v>
      </c>
      <c r="B105" s="60">
        <v>44788</v>
      </c>
      <c r="C105" s="54">
        <f t="shared" si="17"/>
        <v>96965.42</v>
      </c>
      <c r="D105" s="54">
        <f t="shared" si="23"/>
        <v>97038.6</v>
      </c>
      <c r="E105" s="54">
        <f t="shared" si="19"/>
        <v>96958.767661495891</v>
      </c>
      <c r="F105" s="115">
        <f t="shared" si="18"/>
        <v>10.16</v>
      </c>
      <c r="G105" s="51">
        <f>NETWORKDAYS(A105,B105-1,Feriados!$A$2:$A$2000)</f>
        <v>149</v>
      </c>
      <c r="H105" s="121">
        <v>5.35</v>
      </c>
      <c r="I105" s="57">
        <v>9.15</v>
      </c>
      <c r="J105" s="53">
        <f t="shared" si="24"/>
        <v>1.00034749249252</v>
      </c>
      <c r="K105" s="117">
        <f>ROUND(VLOOKUP(A105,'VNA e PRT'!B:G,6,FALSE),2)</f>
        <v>6112.3</v>
      </c>
      <c r="L105" s="117">
        <f>ROUND(VLOOKUP(A105,'VNA e PRT'!B:G,3,FALSE),2)</f>
        <v>0.73</v>
      </c>
      <c r="M105" s="113">
        <f t="shared" si="20"/>
        <v>1.00117114239617</v>
      </c>
      <c r="N105" s="113">
        <f t="shared" si="21"/>
        <v>0.99917731357929607</v>
      </c>
      <c r="O105" s="70">
        <f t="shared" si="22"/>
        <v>146350.42547011076</v>
      </c>
      <c r="P105" s="70">
        <f t="shared" si="25"/>
        <v>144520.29593213482</v>
      </c>
      <c r="Q105" s="70">
        <f t="shared" si="26"/>
        <v>148180.55500808681</v>
      </c>
      <c r="S105" s="57">
        <v>11.61</v>
      </c>
      <c r="T105" s="57">
        <v>9.15</v>
      </c>
      <c r="AA105" s="197"/>
    </row>
    <row r="106" spans="1:27" ht="15" x14ac:dyDescent="0.3">
      <c r="A106" s="60">
        <v>44573</v>
      </c>
      <c r="B106" s="60">
        <v>44788</v>
      </c>
      <c r="C106" s="54">
        <f t="shared" si="17"/>
        <v>96899.07</v>
      </c>
      <c r="D106" s="54">
        <f t="shared" si="23"/>
        <v>96965.42</v>
      </c>
      <c r="E106" s="54">
        <f t="shared" si="19"/>
        <v>96968.49629797104</v>
      </c>
      <c r="F106" s="115">
        <f t="shared" si="18"/>
        <v>-106.12</v>
      </c>
      <c r="G106" s="51">
        <f>NETWORKDAYS(A106,B106-1,Feriados!$A$2:$A$2000)</f>
        <v>148</v>
      </c>
      <c r="H106" s="121">
        <v>5.51</v>
      </c>
      <c r="I106" s="57">
        <v>9.15</v>
      </c>
      <c r="J106" s="53">
        <f t="shared" si="24"/>
        <v>1.00034749249252</v>
      </c>
      <c r="K106" s="117">
        <f>ROUND(VLOOKUP(A106,'VNA e PRT'!B:G,6,FALSE),2)</f>
        <v>6114.23</v>
      </c>
      <c r="L106" s="117">
        <f>ROUND(VLOOKUP(A106,'VNA e PRT'!B:G,3,FALSE),2)</f>
        <v>0.73</v>
      </c>
      <c r="M106" s="113">
        <f t="shared" si="20"/>
        <v>1.0003157567527801</v>
      </c>
      <c r="N106" s="113">
        <f t="shared" si="21"/>
        <v>1.000031725722129</v>
      </c>
      <c r="O106" s="70">
        <f t="shared" si="22"/>
        <v>146401.28114423872</v>
      </c>
      <c r="P106" s="70">
        <f t="shared" si="25"/>
        <v>144676.63564998799</v>
      </c>
      <c r="Q106" s="70">
        <f t="shared" si="26"/>
        <v>148125.92663848956</v>
      </c>
      <c r="S106" s="57">
        <v>5.35</v>
      </c>
      <c r="T106" s="57">
        <v>9.15</v>
      </c>
      <c r="AA106" s="197"/>
    </row>
    <row r="107" spans="1:27" ht="15" x14ac:dyDescent="0.3">
      <c r="A107" s="60">
        <v>44574</v>
      </c>
      <c r="B107" s="60">
        <v>44788</v>
      </c>
      <c r="C107" s="54">
        <f t="shared" si="17"/>
        <v>96812.69</v>
      </c>
      <c r="D107" s="54">
        <f t="shared" si="23"/>
        <v>96899.07</v>
      </c>
      <c r="E107" s="54">
        <f t="shared" si="19"/>
        <v>96901.995412237229</v>
      </c>
      <c r="F107" s="115">
        <f t="shared" si="18"/>
        <v>-136.55000000000001</v>
      </c>
      <c r="G107" s="51">
        <f>NETWORKDAYS(A107,B107-1,Feriados!$A$2:$A$2000)</f>
        <v>147</v>
      </c>
      <c r="H107" s="121">
        <v>5.71</v>
      </c>
      <c r="I107" s="57">
        <v>9.15</v>
      </c>
      <c r="J107" s="53">
        <f t="shared" si="24"/>
        <v>1.00034749249252</v>
      </c>
      <c r="K107" s="117">
        <f>ROUND(VLOOKUP(A107,'VNA e PRT'!B:G,6,FALSE),2)</f>
        <v>6116.17</v>
      </c>
      <c r="L107" s="117">
        <f>ROUND(VLOOKUP(A107,'VNA e PRT'!B:G,3,FALSE),2)</f>
        <v>0.73</v>
      </c>
      <c r="M107" s="113">
        <f t="shared" si="20"/>
        <v>1.0003172926108399</v>
      </c>
      <c r="N107" s="113">
        <f t="shared" si="21"/>
        <v>1.0000301903025202</v>
      </c>
      <c r="O107" s="70">
        <f t="shared" si="22"/>
        <v>146452.15449033165</v>
      </c>
      <c r="P107" s="70">
        <f t="shared" si="25"/>
        <v>144863.45969471941</v>
      </c>
      <c r="Q107" s="70">
        <f t="shared" si="26"/>
        <v>148040.84928594402</v>
      </c>
      <c r="S107" s="57">
        <v>5.51</v>
      </c>
      <c r="T107" s="57">
        <v>9.15</v>
      </c>
      <c r="AA107" s="197"/>
    </row>
    <row r="108" spans="1:27" ht="15" x14ac:dyDescent="0.3">
      <c r="A108" s="60">
        <v>44575</v>
      </c>
      <c r="B108" s="60">
        <v>44788</v>
      </c>
      <c r="C108" s="54">
        <f t="shared" si="17"/>
        <v>96812.800000000003</v>
      </c>
      <c r="D108" s="54">
        <f t="shared" si="23"/>
        <v>96812.69</v>
      </c>
      <c r="E108" s="54">
        <f t="shared" si="19"/>
        <v>96815.780789680372</v>
      </c>
      <c r="F108" s="115">
        <f t="shared" si="18"/>
        <v>-4.55</v>
      </c>
      <c r="G108" s="51">
        <f>NETWORKDAYS(A108,B108-1,Feriados!$A$2:$A$2000)</f>
        <v>146</v>
      </c>
      <c r="H108" s="121">
        <v>5.75</v>
      </c>
      <c r="I108" s="57">
        <v>9.15</v>
      </c>
      <c r="J108" s="53">
        <f t="shared" si="24"/>
        <v>1.00034749249252</v>
      </c>
      <c r="K108" s="117">
        <f>ROUND(VLOOKUP(A108,'VNA e PRT'!B:G,6,FALSE),2)</f>
        <v>6118.1</v>
      </c>
      <c r="L108" s="117">
        <f>ROUND(VLOOKUP(A108,'VNA e PRT'!B:G,3,FALSE),2)</f>
        <v>0.73</v>
      </c>
      <c r="M108" s="113">
        <f t="shared" si="20"/>
        <v>1.00031555695803</v>
      </c>
      <c r="N108" s="113">
        <f t="shared" si="21"/>
        <v>1.0000319254601888</v>
      </c>
      <c r="O108" s="70">
        <f t="shared" si="22"/>
        <v>146503.04551453041</v>
      </c>
      <c r="P108" s="70">
        <f t="shared" si="25"/>
        <v>144918.34865940377</v>
      </c>
      <c r="Q108" s="70">
        <f t="shared" si="26"/>
        <v>148087.74236965718</v>
      </c>
      <c r="S108" s="57">
        <v>5.71</v>
      </c>
      <c r="T108" s="57">
        <v>9.15</v>
      </c>
      <c r="AA108" s="197"/>
    </row>
    <row r="109" spans="1:27" ht="15" x14ac:dyDescent="0.3">
      <c r="A109" s="60">
        <v>44578</v>
      </c>
      <c r="B109" s="60">
        <v>44788</v>
      </c>
      <c r="C109" s="54">
        <f t="shared" si="17"/>
        <v>96702.81</v>
      </c>
      <c r="D109" s="54">
        <f t="shared" si="23"/>
        <v>96812.800000000003</v>
      </c>
      <c r="E109" s="54">
        <f t="shared" si="19"/>
        <v>96815.742232787597</v>
      </c>
      <c r="F109" s="115">
        <f t="shared" si="18"/>
        <v>-172.78</v>
      </c>
      <c r="G109" s="51">
        <f>NETWORKDAYS(A109,B109-1,Feriados!$A$2:$A$2000)</f>
        <v>145</v>
      </c>
      <c r="H109" s="121">
        <v>6</v>
      </c>
      <c r="I109" s="57">
        <v>9.15</v>
      </c>
      <c r="J109" s="53">
        <f t="shared" si="24"/>
        <v>1.00034749249252</v>
      </c>
      <c r="K109" s="117">
        <f>ROUND(VLOOKUP(A109,'VNA e PRT'!B:G,6,FALSE),2)</f>
        <v>6120.04</v>
      </c>
      <c r="L109" s="117">
        <f>ROUND(VLOOKUP(A109,'VNA e PRT'!B:G,3,FALSE),2)</f>
        <v>0.73</v>
      </c>
      <c r="M109" s="113">
        <f t="shared" si="20"/>
        <v>1.0003170919076201</v>
      </c>
      <c r="N109" s="113">
        <f t="shared" si="21"/>
        <v>1.0000303909481763</v>
      </c>
      <c r="O109" s="70">
        <f t="shared" si="22"/>
        <v>146553.95422297803</v>
      </c>
      <c r="P109" s="70">
        <f t="shared" si="25"/>
        <v>145141.48669759129</v>
      </c>
      <c r="Q109" s="70">
        <f t="shared" si="26"/>
        <v>147966.42174836487</v>
      </c>
      <c r="S109" s="57">
        <v>5.75</v>
      </c>
      <c r="T109" s="57">
        <v>9.15</v>
      </c>
      <c r="AA109" s="197"/>
    </row>
    <row r="110" spans="1:27" ht="15" x14ac:dyDescent="0.3">
      <c r="A110" s="60">
        <v>44579</v>
      </c>
      <c r="B110" s="60">
        <v>44788</v>
      </c>
      <c r="C110" s="54">
        <f t="shared" si="17"/>
        <v>96667.86</v>
      </c>
      <c r="D110" s="54">
        <f t="shared" si="23"/>
        <v>96702.81</v>
      </c>
      <c r="E110" s="54">
        <f t="shared" si="19"/>
        <v>96715.869414128247</v>
      </c>
      <c r="F110" s="115">
        <f t="shared" si="18"/>
        <v>-73.47</v>
      </c>
      <c r="G110" s="51">
        <f>NETWORKDAYS(A110,B110-1,Feriados!$A$2:$A$2000)</f>
        <v>144</v>
      </c>
      <c r="H110" s="121">
        <v>6.11</v>
      </c>
      <c r="I110" s="57">
        <v>9.15</v>
      </c>
      <c r="J110" s="53">
        <f t="shared" si="24"/>
        <v>1.00034749249252</v>
      </c>
      <c r="K110" s="117">
        <f>ROUND(VLOOKUP(A110,'VNA e PRT'!B:G,6,FALSE),2)</f>
        <v>6121.34</v>
      </c>
      <c r="L110" s="117">
        <f>ROUND(VLOOKUP(A110,'VNA e PRT'!B:G,3,FALSE),2)</f>
        <v>0.45</v>
      </c>
      <c r="M110" s="113">
        <f t="shared" si="20"/>
        <v>1.0002124169123101</v>
      </c>
      <c r="N110" s="113">
        <f t="shared" si="21"/>
        <v>1.0001350468939656</v>
      </c>
      <c r="O110" s="70">
        <f t="shared" si="22"/>
        <v>146604.88062181964</v>
      </c>
      <c r="P110" s="70">
        <f t="shared" si="25"/>
        <v>145265.3922745719</v>
      </c>
      <c r="Q110" s="70">
        <f t="shared" si="26"/>
        <v>147944.36896906747</v>
      </c>
      <c r="S110" s="57">
        <v>6</v>
      </c>
      <c r="T110" s="57">
        <v>9.15</v>
      </c>
      <c r="AA110" s="197"/>
    </row>
    <row r="111" spans="1:27" ht="15" x14ac:dyDescent="0.3">
      <c r="A111" s="60">
        <v>44580</v>
      </c>
      <c r="B111" s="60">
        <v>44788</v>
      </c>
      <c r="C111" s="54">
        <f t="shared" si="17"/>
        <v>96732</v>
      </c>
      <c r="D111" s="54">
        <f t="shared" si="23"/>
        <v>96667.86</v>
      </c>
      <c r="E111" s="54">
        <f t="shared" si="19"/>
        <v>96680.761147738405</v>
      </c>
      <c r="F111" s="115">
        <f t="shared" si="18"/>
        <v>78.42</v>
      </c>
      <c r="G111" s="51">
        <f>NETWORKDAYS(A111,B111-1,Feriados!$A$2:$A$2000)</f>
        <v>143</v>
      </c>
      <c r="H111" s="121">
        <v>6.03</v>
      </c>
      <c r="I111" s="57">
        <v>9.15</v>
      </c>
      <c r="J111" s="53">
        <f t="shared" si="24"/>
        <v>1.00034749249252</v>
      </c>
      <c r="K111" s="117">
        <f>ROUND(VLOOKUP(A111,'VNA e PRT'!B:G,6,FALSE),2)</f>
        <v>6122.65</v>
      </c>
      <c r="L111" s="117">
        <f>ROUND(VLOOKUP(A111,'VNA e PRT'!B:G,3,FALSE),2)</f>
        <v>0.45</v>
      </c>
      <c r="M111" s="113">
        <f t="shared" si="20"/>
        <v>1.00021400543018</v>
      </c>
      <c r="N111" s="113">
        <f t="shared" si="21"/>
        <v>1.0001334585014958</v>
      </c>
      <c r="O111" s="70">
        <f t="shared" si="22"/>
        <v>146655.82471720251</v>
      </c>
      <c r="P111" s="70">
        <f t="shared" si="25"/>
        <v>145237.45090781027</v>
      </c>
      <c r="Q111" s="70">
        <f t="shared" si="26"/>
        <v>148074.19852659485</v>
      </c>
      <c r="S111" s="57">
        <v>6.11</v>
      </c>
      <c r="T111" s="57">
        <v>9.15</v>
      </c>
      <c r="AA111" s="197"/>
    </row>
    <row r="112" spans="1:27" ht="15" x14ac:dyDescent="0.3">
      <c r="A112" s="60">
        <v>44581</v>
      </c>
      <c r="B112" s="60">
        <v>44788</v>
      </c>
      <c r="C112" s="54">
        <f t="shared" si="17"/>
        <v>96677.440000000002</v>
      </c>
      <c r="D112" s="54">
        <f t="shared" si="23"/>
        <v>96732</v>
      </c>
      <c r="E112" s="54">
        <f t="shared" si="19"/>
        <v>96744.914136625361</v>
      </c>
      <c r="F112" s="115">
        <f t="shared" si="18"/>
        <v>-103.3</v>
      </c>
      <c r="G112" s="51">
        <f>NETWORKDAYS(A112,B112-1,Feriados!$A$2:$A$2000)</f>
        <v>142</v>
      </c>
      <c r="H112" s="121">
        <v>6.18</v>
      </c>
      <c r="I112" s="57">
        <v>9.15</v>
      </c>
      <c r="J112" s="53">
        <f t="shared" si="24"/>
        <v>1.00034749249252</v>
      </c>
      <c r="K112" s="117">
        <f>ROUND(VLOOKUP(A112,'VNA e PRT'!B:G,6,FALSE),2)</f>
        <v>6123.96</v>
      </c>
      <c r="L112" s="117">
        <f>ROUND(VLOOKUP(A112,'VNA e PRT'!B:G,3,FALSE),2)</f>
        <v>0.45</v>
      </c>
      <c r="M112" s="113">
        <f t="shared" si="20"/>
        <v>1.0002139596416599</v>
      </c>
      <c r="N112" s="113">
        <f t="shared" si="21"/>
        <v>1.0001335042863309</v>
      </c>
      <c r="O112" s="70">
        <f t="shared" si="22"/>
        <v>146706.78651527606</v>
      </c>
      <c r="P112" s="70">
        <f t="shared" si="25"/>
        <v>145391.21983163347</v>
      </c>
      <c r="Q112" s="70">
        <f t="shared" si="26"/>
        <v>148022.35319891878</v>
      </c>
      <c r="S112" s="57">
        <v>6.03</v>
      </c>
      <c r="T112" s="57">
        <v>9.15</v>
      </c>
      <c r="AA112" s="197"/>
    </row>
    <row r="113" spans="1:27" ht="15" x14ac:dyDescent="0.3">
      <c r="A113" s="60">
        <v>44582</v>
      </c>
      <c r="B113" s="60">
        <v>44788</v>
      </c>
      <c r="C113" s="54">
        <f t="shared" si="17"/>
        <v>96275.03</v>
      </c>
      <c r="D113" s="54">
        <f t="shared" si="23"/>
        <v>96677.440000000002</v>
      </c>
      <c r="E113" s="54">
        <f t="shared" si="19"/>
        <v>96690.351277099719</v>
      </c>
      <c r="F113" s="115">
        <f t="shared" si="18"/>
        <v>-635.98</v>
      </c>
      <c r="G113" s="51">
        <f>NETWORKDAYS(A113,B113-1,Feriados!$A$2:$A$2000)</f>
        <v>141</v>
      </c>
      <c r="H113" s="121">
        <v>7.02</v>
      </c>
      <c r="I113" s="57">
        <v>9.15</v>
      </c>
      <c r="J113" s="53">
        <f t="shared" si="24"/>
        <v>1.00034749249252</v>
      </c>
      <c r="K113" s="117">
        <f>ROUND(VLOOKUP(A113,'VNA e PRT'!B:G,6,FALSE),2)</f>
        <v>6125.27</v>
      </c>
      <c r="L113" s="117">
        <f>ROUND(VLOOKUP(A113,'VNA e PRT'!B:G,3,FALSE),2)</f>
        <v>0.45</v>
      </c>
      <c r="M113" s="113">
        <f t="shared" si="20"/>
        <v>1.00021391387272</v>
      </c>
      <c r="N113" s="113">
        <f t="shared" si="21"/>
        <v>1.0001335500515913</v>
      </c>
      <c r="O113" s="70">
        <f t="shared" si="22"/>
        <v>146757.76602219185</v>
      </c>
      <c r="P113" s="70">
        <f t="shared" si="25"/>
        <v>146077.72218900328</v>
      </c>
      <c r="Q113" s="70">
        <f t="shared" si="26"/>
        <v>147437.80985538053</v>
      </c>
      <c r="S113" s="57">
        <v>6.18</v>
      </c>
      <c r="T113" s="57">
        <v>9.15</v>
      </c>
      <c r="AA113" s="197"/>
    </row>
    <row r="114" spans="1:27" ht="15" x14ac:dyDescent="0.3">
      <c r="A114" s="60">
        <v>44585</v>
      </c>
      <c r="B114" s="60">
        <v>44788</v>
      </c>
      <c r="C114" s="54">
        <f t="shared" si="17"/>
        <v>96456.28</v>
      </c>
      <c r="D114" s="54">
        <f t="shared" si="23"/>
        <v>96275.03</v>
      </c>
      <c r="E114" s="54">
        <f t="shared" si="19"/>
        <v>96287.891939390756</v>
      </c>
      <c r="F114" s="115">
        <f t="shared" si="18"/>
        <v>257.91000000000003</v>
      </c>
      <c r="G114" s="51">
        <f>NETWORKDAYS(A114,B114-1,Feriados!$A$2:$A$2000)</f>
        <v>140</v>
      </c>
      <c r="H114" s="121">
        <v>6.71</v>
      </c>
      <c r="I114" s="57">
        <v>9.15</v>
      </c>
      <c r="J114" s="53">
        <f t="shared" si="24"/>
        <v>1.00034749249252</v>
      </c>
      <c r="K114" s="117">
        <f>ROUND(VLOOKUP(A114,'VNA e PRT'!B:G,6,FALSE),2)</f>
        <v>6126.58</v>
      </c>
      <c r="L114" s="117">
        <f>ROUND(VLOOKUP(A114,'VNA e PRT'!B:G,3,FALSE),2)</f>
        <v>0.45</v>
      </c>
      <c r="M114" s="113">
        <f t="shared" si="20"/>
        <v>1.0002138681233601</v>
      </c>
      <c r="N114" s="113">
        <f t="shared" si="21"/>
        <v>1.0001335957972775</v>
      </c>
      <c r="O114" s="70">
        <f t="shared" si="22"/>
        <v>146808.76324410355</v>
      </c>
      <c r="P114" s="70">
        <f t="shared" si="25"/>
        <v>145870.57310078837</v>
      </c>
      <c r="Q114" s="70">
        <f t="shared" si="26"/>
        <v>147746.95338741888</v>
      </c>
      <c r="S114" s="57">
        <v>7.02</v>
      </c>
      <c r="T114" s="57">
        <v>9.15</v>
      </c>
      <c r="AA114" s="197"/>
    </row>
    <row r="115" spans="1:27" ht="15" x14ac:dyDescent="0.3">
      <c r="A115" s="60">
        <v>44586</v>
      </c>
      <c r="B115" s="60">
        <v>44788</v>
      </c>
      <c r="C115" s="54">
        <f t="shared" si="17"/>
        <v>96436.28</v>
      </c>
      <c r="D115" s="54">
        <f t="shared" si="23"/>
        <v>96456.28</v>
      </c>
      <c r="E115" s="54">
        <f t="shared" si="19"/>
        <v>96469.170564200671</v>
      </c>
      <c r="F115" s="115">
        <f t="shared" si="18"/>
        <v>-50.38</v>
      </c>
      <c r="G115" s="51">
        <f>NETWORKDAYS(A115,B115-1,Feriados!$A$2:$A$2000)</f>
        <v>139</v>
      </c>
      <c r="H115" s="121">
        <v>6.8</v>
      </c>
      <c r="I115" s="57">
        <v>9.15</v>
      </c>
      <c r="J115" s="53">
        <f t="shared" si="24"/>
        <v>1.00034749249252</v>
      </c>
      <c r="K115" s="117">
        <f>ROUND(VLOOKUP(A115,'VNA e PRT'!B:G,6,FALSE),2)</f>
        <v>6127.89</v>
      </c>
      <c r="L115" s="117">
        <f>ROUND(VLOOKUP(A115,'VNA e PRT'!B:G,3,FALSE),2)</f>
        <v>0.45</v>
      </c>
      <c r="M115" s="113">
        <f t="shared" si="20"/>
        <v>1.0002138223935699</v>
      </c>
      <c r="N115" s="113">
        <f t="shared" si="21"/>
        <v>1.0001336415233997</v>
      </c>
      <c r="O115" s="70">
        <f t="shared" si="22"/>
        <v>146859.77818716702</v>
      </c>
      <c r="P115" s="70">
        <f t="shared" si="25"/>
        <v>145971.64202982048</v>
      </c>
      <c r="Q115" s="70">
        <f t="shared" si="26"/>
        <v>147747.9143445137</v>
      </c>
      <c r="S115" s="57">
        <v>6.71</v>
      </c>
      <c r="T115" s="57">
        <v>9.15</v>
      </c>
      <c r="AA115" s="197"/>
    </row>
    <row r="116" spans="1:27" ht="15" x14ac:dyDescent="0.3">
      <c r="A116" s="60">
        <v>44587</v>
      </c>
      <c r="B116" s="60">
        <v>44788</v>
      </c>
      <c r="C116" s="54">
        <f t="shared" si="17"/>
        <v>96535.73</v>
      </c>
      <c r="D116" s="54">
        <f t="shared" si="23"/>
        <v>96436.28</v>
      </c>
      <c r="E116" s="54">
        <f t="shared" si="19"/>
        <v>96449.172299142534</v>
      </c>
      <c r="F116" s="115">
        <f t="shared" si="18"/>
        <v>132.63</v>
      </c>
      <c r="G116" s="51">
        <f>NETWORKDAYS(A116,B116-1,Feriados!$A$2:$A$2000)</f>
        <v>138</v>
      </c>
      <c r="H116" s="121">
        <v>6.65</v>
      </c>
      <c r="I116" s="57">
        <v>9.15</v>
      </c>
      <c r="J116" s="53">
        <f t="shared" si="24"/>
        <v>1.00034749249252</v>
      </c>
      <c r="K116" s="117">
        <f>ROUND(VLOOKUP(A116,'VNA e PRT'!B:G,6,FALSE),2)</f>
        <v>6129.2</v>
      </c>
      <c r="L116" s="117">
        <f>ROUND(VLOOKUP(A116,'VNA e PRT'!B:G,3,FALSE),2)</f>
        <v>0.45</v>
      </c>
      <c r="M116" s="113">
        <f t="shared" si="20"/>
        <v>1.0002137766833299</v>
      </c>
      <c r="N116" s="113">
        <f t="shared" si="21"/>
        <v>1.0001336872299775</v>
      </c>
      <c r="O116" s="70">
        <f t="shared" si="22"/>
        <v>146910.8108575402</v>
      </c>
      <c r="P116" s="70">
        <f t="shared" si="25"/>
        <v>145889.73607954665</v>
      </c>
      <c r="Q116" s="70">
        <f t="shared" si="26"/>
        <v>147931.88563553392</v>
      </c>
      <c r="S116" s="57">
        <v>6.8</v>
      </c>
      <c r="T116" s="57">
        <v>9.15</v>
      </c>
      <c r="AA116" s="197"/>
    </row>
    <row r="117" spans="1:27" ht="15" x14ac:dyDescent="0.3">
      <c r="A117" s="60">
        <v>44588</v>
      </c>
      <c r="B117" s="60">
        <v>44788</v>
      </c>
      <c r="C117" s="54">
        <f t="shared" si="17"/>
        <v>96521.05</v>
      </c>
      <c r="D117" s="54">
        <f t="shared" si="23"/>
        <v>96535.73</v>
      </c>
      <c r="E117" s="54">
        <f t="shared" si="19"/>
        <v>96511.959065561867</v>
      </c>
      <c r="F117" s="115">
        <f t="shared" si="18"/>
        <v>13.93</v>
      </c>
      <c r="G117" s="51">
        <f>NETWORKDAYS(A117,B117-1,Feriados!$A$2:$A$2000)</f>
        <v>137</v>
      </c>
      <c r="H117" s="121">
        <v>6.73</v>
      </c>
      <c r="I117" s="57">
        <v>9.15</v>
      </c>
      <c r="J117" s="53">
        <f t="shared" si="24"/>
        <v>1.00034749249252</v>
      </c>
      <c r="K117" s="117">
        <f>ROUND(VLOOKUP(A117,'VNA e PRT'!B:G,6,FALSE),2)</f>
        <v>6132.84</v>
      </c>
      <c r="L117" s="117">
        <f>ROUND(VLOOKUP(A117,'VNA e PRT'!B:G,3,FALSE),2)</f>
        <v>0.55000000000000004</v>
      </c>
      <c r="M117" s="113">
        <f t="shared" si="20"/>
        <v>1.0005938784833299</v>
      </c>
      <c r="N117" s="113">
        <f t="shared" si="21"/>
        <v>0.99975376024568186</v>
      </c>
      <c r="O117" s="70">
        <f t="shared" si="22"/>
        <v>146961.86126138322</v>
      </c>
      <c r="P117" s="70">
        <f t="shared" si="25"/>
        <v>145926.50166757003</v>
      </c>
      <c r="Q117" s="70">
        <f t="shared" si="26"/>
        <v>147997.22085519659</v>
      </c>
      <c r="S117" s="57">
        <v>6.65</v>
      </c>
      <c r="T117" s="57">
        <v>9.15</v>
      </c>
      <c r="AA117" s="197"/>
    </row>
    <row r="118" spans="1:27" ht="15" x14ac:dyDescent="0.3">
      <c r="A118" s="60">
        <v>44589</v>
      </c>
      <c r="B118" s="60">
        <v>44788</v>
      </c>
      <c r="C118" s="54">
        <f t="shared" si="17"/>
        <v>96668.26</v>
      </c>
      <c r="D118" s="54">
        <f t="shared" si="23"/>
        <v>96521.05</v>
      </c>
      <c r="E118" s="54">
        <f t="shared" si="19"/>
        <v>96529.406730242743</v>
      </c>
      <c r="F118" s="115">
        <f t="shared" si="18"/>
        <v>212.94</v>
      </c>
      <c r="G118" s="51">
        <f>NETWORKDAYS(A118,B118-1,Feriados!$A$2:$A$2000)</f>
        <v>136</v>
      </c>
      <c r="H118" s="121">
        <v>6.48</v>
      </c>
      <c r="I118" s="57">
        <v>9.15</v>
      </c>
      <c r="J118" s="53">
        <f t="shared" si="24"/>
        <v>1.00034749249252</v>
      </c>
      <c r="K118" s="117">
        <f>ROUND(VLOOKUP(A118,'VNA e PRT'!B:G,6,FALSE),2)</f>
        <v>6134.44</v>
      </c>
      <c r="L118" s="117">
        <f>ROUND(VLOOKUP(A118,'VNA e PRT'!B:G,3,FALSE),2)</f>
        <v>0.55000000000000004</v>
      </c>
      <c r="M118" s="113">
        <f t="shared" si="20"/>
        <v>1.00026089054989</v>
      </c>
      <c r="N118" s="113">
        <f t="shared" si="21"/>
        <v>1.0000865793548945</v>
      </c>
      <c r="O118" s="70">
        <f t="shared" si="22"/>
        <v>147012.92940485833</v>
      </c>
      <c r="P118" s="70">
        <f t="shared" si="25"/>
        <v>145764.27003135922</v>
      </c>
      <c r="Q118" s="70">
        <f t="shared" si="26"/>
        <v>148261.5887783576</v>
      </c>
      <c r="S118" s="57">
        <v>6.73</v>
      </c>
      <c r="T118" s="57">
        <v>9.15</v>
      </c>
      <c r="AA118" s="197"/>
    </row>
    <row r="119" spans="1:27" ht="15" x14ac:dyDescent="0.3">
      <c r="A119" s="60">
        <v>44592</v>
      </c>
      <c r="B119" s="60">
        <v>44788</v>
      </c>
      <c r="C119" s="54">
        <f t="shared" si="17"/>
        <v>96556.41</v>
      </c>
      <c r="D119" s="54">
        <f t="shared" si="23"/>
        <v>96668.26</v>
      </c>
      <c r="E119" s="54">
        <f t="shared" si="19"/>
        <v>96676.636052343732</v>
      </c>
      <c r="F119" s="115">
        <f t="shared" si="18"/>
        <v>-184.42</v>
      </c>
      <c r="G119" s="51">
        <f>NETWORKDAYS(A119,B119-1,Feriados!$A$2:$A$2000)</f>
        <v>135</v>
      </c>
      <c r="H119" s="121">
        <v>6.76</v>
      </c>
      <c r="I119" s="57">
        <v>9.15</v>
      </c>
      <c r="J119" s="53">
        <f t="shared" si="24"/>
        <v>1.00034749249252</v>
      </c>
      <c r="K119" s="117">
        <f>ROUND(VLOOKUP(A119,'VNA e PRT'!B:G,6,FALSE),2)</f>
        <v>6136.04</v>
      </c>
      <c r="L119" s="117">
        <f>ROUND(VLOOKUP(A119,'VNA e PRT'!B:G,3,FALSE),2)</f>
        <v>0.55000000000000004</v>
      </c>
      <c r="M119" s="113">
        <f t="shared" si="20"/>
        <v>1.0002608225037699</v>
      </c>
      <c r="N119" s="113">
        <f t="shared" si="21"/>
        <v>1.000086647389161</v>
      </c>
      <c r="O119" s="70">
        <f t="shared" si="22"/>
        <v>147064.01529412987</v>
      </c>
      <c r="P119" s="70">
        <f t="shared" si="25"/>
        <v>145999.34202087278</v>
      </c>
      <c r="Q119" s="70">
        <f t="shared" si="26"/>
        <v>148128.68856738714</v>
      </c>
      <c r="S119" s="57">
        <v>6.48</v>
      </c>
      <c r="T119" s="57">
        <v>9.15</v>
      </c>
      <c r="AA119" s="197"/>
    </row>
    <row r="120" spans="1:27" ht="15" x14ac:dyDescent="0.3">
      <c r="A120" s="60">
        <v>44593</v>
      </c>
      <c r="B120" s="60">
        <v>44788</v>
      </c>
      <c r="C120" s="54">
        <f t="shared" si="17"/>
        <v>96538.21</v>
      </c>
      <c r="D120" s="54">
        <f t="shared" si="23"/>
        <v>96556.41</v>
      </c>
      <c r="E120" s="54">
        <f t="shared" si="19"/>
        <v>96564.782926553482</v>
      </c>
      <c r="F120" s="115">
        <f t="shared" si="18"/>
        <v>-40.770000000000003</v>
      </c>
      <c r="G120" s="51">
        <f>NETWORKDAYS(A120,B120-1,Feriados!$A$2:$A$2000)</f>
        <v>134</v>
      </c>
      <c r="H120" s="121">
        <v>6.85</v>
      </c>
      <c r="I120" s="57">
        <v>9.15</v>
      </c>
      <c r="J120" s="53">
        <f t="shared" si="24"/>
        <v>1.00034749249252</v>
      </c>
      <c r="K120" s="117">
        <f>ROUND(VLOOKUP(A120,'VNA e PRT'!B:G,6,FALSE),2)</f>
        <v>6137.64</v>
      </c>
      <c r="L120" s="117">
        <f>ROUND(VLOOKUP(A120,'VNA e PRT'!B:G,3,FALSE),2)</f>
        <v>0.55000000000000004</v>
      </c>
      <c r="M120" s="113">
        <f t="shared" si="20"/>
        <v>1.0002607544931299</v>
      </c>
      <c r="N120" s="113">
        <f t="shared" si="21"/>
        <v>1.0000867153879631</v>
      </c>
      <c r="O120" s="70">
        <f t="shared" si="22"/>
        <v>147115.11893536441</v>
      </c>
      <c r="P120" s="70">
        <f t="shared" si="25"/>
        <v>146090.84569613787</v>
      </c>
      <c r="Q120" s="70">
        <f t="shared" si="26"/>
        <v>148139.39217459116</v>
      </c>
      <c r="S120" s="57">
        <v>6.76</v>
      </c>
      <c r="T120" s="57">
        <v>9.15</v>
      </c>
      <c r="AA120" s="197"/>
    </row>
    <row r="121" spans="1:27" ht="15" x14ac:dyDescent="0.3">
      <c r="A121" s="60">
        <v>44594</v>
      </c>
      <c r="B121" s="60">
        <v>44788</v>
      </c>
      <c r="C121" s="54">
        <f t="shared" si="17"/>
        <v>96487.37</v>
      </c>
      <c r="D121" s="54">
        <f t="shared" si="23"/>
        <v>96538.21</v>
      </c>
      <c r="E121" s="54">
        <f t="shared" si="19"/>
        <v>96546.430648185662</v>
      </c>
      <c r="F121" s="115">
        <f t="shared" si="18"/>
        <v>-90.64</v>
      </c>
      <c r="G121" s="51">
        <f>NETWORKDAYS(A121,B121-1,Feriados!$A$2:$A$2000)</f>
        <v>133</v>
      </c>
      <c r="H121" s="121">
        <v>7.01</v>
      </c>
      <c r="I121" s="57">
        <v>9.15</v>
      </c>
      <c r="J121" s="53">
        <f t="shared" si="24"/>
        <v>1.00034749249252</v>
      </c>
      <c r="K121" s="117">
        <f>ROUND(VLOOKUP(A121,'VNA e PRT'!B:G,6,FALSE),2)</f>
        <v>6139.25</v>
      </c>
      <c r="L121" s="117">
        <f>ROUND(VLOOKUP(A121,'VNA e PRT'!B:G,3,FALSE),2)</f>
        <v>0.55000000000000004</v>
      </c>
      <c r="M121" s="113">
        <f t="shared" si="20"/>
        <v>1.0002623158086801</v>
      </c>
      <c r="N121" s="113">
        <f t="shared" si="21"/>
        <v>1.0000851543465086</v>
      </c>
      <c r="O121" s="70">
        <f t="shared" si="22"/>
        <v>147166.24033473062</v>
      </c>
      <c r="P121" s="70">
        <f t="shared" si="25"/>
        <v>146232.25116824318</v>
      </c>
      <c r="Q121" s="70">
        <f t="shared" si="26"/>
        <v>148100.2295012183</v>
      </c>
      <c r="S121" s="57">
        <v>6.85</v>
      </c>
      <c r="T121" s="57">
        <v>9.15</v>
      </c>
      <c r="AA121" s="197"/>
    </row>
    <row r="122" spans="1:27" ht="15" x14ac:dyDescent="0.3">
      <c r="A122" s="60">
        <v>44595</v>
      </c>
      <c r="B122" s="60">
        <v>44788</v>
      </c>
      <c r="C122" s="54">
        <f t="shared" si="17"/>
        <v>96560.59</v>
      </c>
      <c r="D122" s="54">
        <f t="shared" si="23"/>
        <v>96487.37</v>
      </c>
      <c r="E122" s="54">
        <f t="shared" si="19"/>
        <v>96495.750092470931</v>
      </c>
      <c r="F122" s="115">
        <f t="shared" si="18"/>
        <v>99.54</v>
      </c>
      <c r="G122" s="51">
        <f>NETWORKDAYS(A122,B122-1,Feriados!$A$2:$A$2000)</f>
        <v>132</v>
      </c>
      <c r="H122" s="121">
        <v>6.91</v>
      </c>
      <c r="I122" s="57">
        <v>9.15</v>
      </c>
      <c r="J122" s="53">
        <f t="shared" si="24"/>
        <v>1.00034749249252</v>
      </c>
      <c r="K122" s="117">
        <f>ROUND(VLOOKUP(A122,'VNA e PRT'!B:G,6,FALSE),2)</f>
        <v>6140.85</v>
      </c>
      <c r="L122" s="117">
        <f>ROUND(VLOOKUP(A122,'VNA e PRT'!B:G,3,FALSE),2)</f>
        <v>0.55000000000000004</v>
      </c>
      <c r="M122" s="113">
        <f t="shared" si="20"/>
        <v>1.0002606181536799</v>
      </c>
      <c r="N122" s="113">
        <f t="shared" si="21"/>
        <v>1.0000868517037094</v>
      </c>
      <c r="O122" s="70">
        <f t="shared" si="22"/>
        <v>147217.37949839933</v>
      </c>
      <c r="P122" s="70">
        <f t="shared" si="25"/>
        <v>146183.52577768842</v>
      </c>
      <c r="Q122" s="70">
        <f t="shared" si="26"/>
        <v>148251.23321911047</v>
      </c>
      <c r="S122" s="57">
        <v>7.01</v>
      </c>
      <c r="T122" s="57">
        <v>9.15</v>
      </c>
      <c r="AA122" s="197"/>
    </row>
    <row r="123" spans="1:27" ht="15" x14ac:dyDescent="0.3">
      <c r="A123" s="60">
        <v>44596</v>
      </c>
      <c r="B123" s="60">
        <v>44788</v>
      </c>
      <c r="C123" s="54">
        <f t="shared" si="17"/>
        <v>96628.49</v>
      </c>
      <c r="D123" s="54">
        <f t="shared" si="23"/>
        <v>96560.59</v>
      </c>
      <c r="E123" s="54">
        <f t="shared" si="19"/>
        <v>96574.056355504668</v>
      </c>
      <c r="F123" s="115">
        <f t="shared" si="18"/>
        <v>83.58</v>
      </c>
      <c r="G123" s="51">
        <f>NETWORKDAYS(A123,B123-1,Feriados!$A$2:$A$2000)</f>
        <v>131</v>
      </c>
      <c r="H123" s="121">
        <v>6.82</v>
      </c>
      <c r="I123" s="57">
        <v>10.65</v>
      </c>
      <c r="J123" s="53">
        <f t="shared" si="24"/>
        <v>1.0004016754139</v>
      </c>
      <c r="K123" s="117">
        <f>ROUND(VLOOKUP(A123,'VNA e PRT'!B:G,6,FALSE),2)</f>
        <v>6142.46</v>
      </c>
      <c r="L123" s="117">
        <f>ROUND(VLOOKUP(A123,'VNA e PRT'!B:G,3,FALSE),2)</f>
        <v>0.55000000000000004</v>
      </c>
      <c r="M123" s="113">
        <f t="shared" si="20"/>
        <v>1.0002621786886201</v>
      </c>
      <c r="N123" s="113">
        <f t="shared" si="21"/>
        <v>1.0001394601617977</v>
      </c>
      <c r="O123" s="70">
        <f t="shared" si="22"/>
        <v>147268.53643254348</v>
      </c>
      <c r="P123" s="70">
        <f t="shared" si="25"/>
        <v>146150.74345542627</v>
      </c>
      <c r="Q123" s="70">
        <f t="shared" si="26"/>
        <v>148386.32940966092</v>
      </c>
      <c r="S123" s="57">
        <v>6.91</v>
      </c>
      <c r="T123" s="57">
        <v>10.65</v>
      </c>
      <c r="AA123" s="197"/>
    </row>
    <row r="124" spans="1:27" ht="15" x14ac:dyDescent="0.3">
      <c r="A124" s="60">
        <v>44599</v>
      </c>
      <c r="B124" s="60">
        <v>44788</v>
      </c>
      <c r="C124" s="54">
        <f t="shared" si="17"/>
        <v>96663.13</v>
      </c>
      <c r="D124" s="54">
        <f t="shared" si="23"/>
        <v>96628.49</v>
      </c>
      <c r="E124" s="54">
        <f t="shared" si="19"/>
        <v>96642.129757652481</v>
      </c>
      <c r="F124" s="115">
        <f t="shared" si="18"/>
        <v>32.25</v>
      </c>
      <c r="G124" s="51">
        <f>NETWORKDAYS(A124,B124-1,Feriados!$A$2:$A$2000)</f>
        <v>130</v>
      </c>
      <c r="H124" s="121">
        <v>6.8</v>
      </c>
      <c r="I124" s="57">
        <v>10.65</v>
      </c>
      <c r="J124" s="53">
        <f t="shared" si="24"/>
        <v>1.0004016754139</v>
      </c>
      <c r="K124" s="117">
        <f>ROUND(VLOOKUP(A124,'VNA e PRT'!B:G,6,FALSE),2)</f>
        <v>6144.06</v>
      </c>
      <c r="L124" s="117">
        <f>ROUND(VLOOKUP(A124,'VNA e PRT'!B:G,3,FALSE),2)</f>
        <v>0.55000000000000004</v>
      </c>
      <c r="M124" s="113">
        <f t="shared" si="20"/>
        <v>1.00026048195674</v>
      </c>
      <c r="N124" s="113">
        <f t="shared" si="21"/>
        <v>1.0001411566883895</v>
      </c>
      <c r="O124" s="70">
        <f t="shared" si="22"/>
        <v>147327.69058286946</v>
      </c>
      <c r="P124" s="70">
        <f t="shared" si="25"/>
        <v>146177.19861579553</v>
      </c>
      <c r="Q124" s="70">
        <f t="shared" si="26"/>
        <v>148478.18254994365</v>
      </c>
      <c r="S124" s="57">
        <v>6.82</v>
      </c>
      <c r="T124" s="57">
        <v>10.65</v>
      </c>
      <c r="AA124" s="197"/>
    </row>
    <row r="125" spans="1:27" ht="15" x14ac:dyDescent="0.3">
      <c r="A125" s="60">
        <v>44600</v>
      </c>
      <c r="B125" s="60">
        <v>44788</v>
      </c>
      <c r="C125" s="54">
        <f t="shared" si="17"/>
        <v>96693</v>
      </c>
      <c r="D125" s="54">
        <f t="shared" si="23"/>
        <v>96663.13</v>
      </c>
      <c r="E125" s="54">
        <f t="shared" si="19"/>
        <v>96676.781203505903</v>
      </c>
      <c r="F125" s="115">
        <f t="shared" si="18"/>
        <v>24.91</v>
      </c>
      <c r="G125" s="51">
        <f>NETWORKDAYS(A125,B125-1,Feriados!$A$2:$A$2000)</f>
        <v>129</v>
      </c>
      <c r="H125" s="121">
        <v>6.79</v>
      </c>
      <c r="I125" s="57">
        <v>10.65</v>
      </c>
      <c r="J125" s="53">
        <f t="shared" si="24"/>
        <v>1.0004016754139</v>
      </c>
      <c r="K125" s="117">
        <f>ROUND(VLOOKUP(A125,'VNA e PRT'!B:G,6,FALSE),2)</f>
        <v>6145.66</v>
      </c>
      <c r="L125" s="117">
        <f>ROUND(VLOOKUP(A125,'VNA e PRT'!B:G,3,FALSE),2)</f>
        <v>0.55000000000000004</v>
      </c>
      <c r="M125" s="113">
        <f t="shared" si="20"/>
        <v>1.00026041412356</v>
      </c>
      <c r="N125" s="113">
        <f t="shared" si="21"/>
        <v>1.000141224513482</v>
      </c>
      <c r="O125" s="70">
        <f t="shared" si="22"/>
        <v>147386.86849396327</v>
      </c>
      <c r="P125" s="70">
        <f t="shared" si="25"/>
        <v>146211.00440255227</v>
      </c>
      <c r="Q125" s="70">
        <f t="shared" si="26"/>
        <v>148562.73258537453</v>
      </c>
      <c r="S125" s="57">
        <v>6.8</v>
      </c>
      <c r="T125" s="57">
        <v>10.65</v>
      </c>
      <c r="AA125" s="197"/>
    </row>
    <row r="126" spans="1:27" ht="15" x14ac:dyDescent="0.3">
      <c r="A126" s="60">
        <v>44601</v>
      </c>
      <c r="B126" s="60">
        <v>44788</v>
      </c>
      <c r="C126" s="54">
        <f t="shared" si="17"/>
        <v>96575.92</v>
      </c>
      <c r="D126" s="54">
        <f t="shared" si="23"/>
        <v>96693</v>
      </c>
      <c r="E126" s="54">
        <f t="shared" si="19"/>
        <v>96714.213767658075</v>
      </c>
      <c r="F126" s="115">
        <f t="shared" si="18"/>
        <v>-212.51</v>
      </c>
      <c r="G126" s="51">
        <f>NETWORKDAYS(A126,B126-1,Feriados!$A$2:$A$2000)</f>
        <v>128</v>
      </c>
      <c r="H126" s="121">
        <v>7.1</v>
      </c>
      <c r="I126" s="57">
        <v>10.65</v>
      </c>
      <c r="J126" s="53">
        <f t="shared" si="24"/>
        <v>1.0004016754139</v>
      </c>
      <c r="K126" s="117">
        <f>ROUND(VLOOKUP(A126,'VNA e PRT'!B:G,6,FALSE),2)</f>
        <v>6146.78</v>
      </c>
      <c r="L126" s="117">
        <f>ROUND(VLOOKUP(A126,'VNA e PRT'!B:G,3,FALSE),2)</f>
        <v>0.54</v>
      </c>
      <c r="M126" s="113">
        <f t="shared" si="20"/>
        <v>1.00018224242799</v>
      </c>
      <c r="N126" s="113">
        <f t="shared" si="21"/>
        <v>1.0002193930031964</v>
      </c>
      <c r="O126" s="70">
        <f t="shared" si="22"/>
        <v>147446.07017536901</v>
      </c>
      <c r="P126" s="70">
        <f t="shared" si="25"/>
        <v>146482.24376826241</v>
      </c>
      <c r="Q126" s="70">
        <f t="shared" si="26"/>
        <v>148409.89658247586</v>
      </c>
      <c r="S126" s="57">
        <v>6.79</v>
      </c>
      <c r="T126" s="57">
        <v>10.65</v>
      </c>
      <c r="AA126" s="197"/>
    </row>
    <row r="127" spans="1:27" ht="15" x14ac:dyDescent="0.3">
      <c r="A127" s="60">
        <v>44602</v>
      </c>
      <c r="B127" s="60">
        <v>44788</v>
      </c>
      <c r="C127" s="54">
        <f t="shared" si="17"/>
        <v>96638.59</v>
      </c>
      <c r="D127" s="54">
        <f t="shared" si="23"/>
        <v>96575.92</v>
      </c>
      <c r="E127" s="54">
        <f t="shared" si="19"/>
        <v>96590.041310032015</v>
      </c>
      <c r="F127" s="115">
        <f t="shared" si="18"/>
        <v>74.62</v>
      </c>
      <c r="G127" s="51">
        <f>NETWORKDAYS(A127,B127-1,Feriados!$A$2:$A$2000)</f>
        <v>127</v>
      </c>
      <c r="H127" s="121">
        <v>7.02</v>
      </c>
      <c r="I127" s="57">
        <v>10.65</v>
      </c>
      <c r="J127" s="53">
        <f t="shared" si="24"/>
        <v>1.0004016754139</v>
      </c>
      <c r="K127" s="117">
        <f>ROUND(VLOOKUP(A127,'VNA e PRT'!B:G,6,FALSE),2)</f>
        <v>6148.35</v>
      </c>
      <c r="L127" s="117">
        <f>ROUND(VLOOKUP(A127,'VNA e PRT'!B:G,3,FALSE),2)</f>
        <v>0.54</v>
      </c>
      <c r="M127" s="113">
        <f t="shared" si="20"/>
        <v>1.00025541828404</v>
      </c>
      <c r="N127" s="113">
        <f t="shared" si="21"/>
        <v>1.0001462197826541</v>
      </c>
      <c r="O127" s="70">
        <f t="shared" si="22"/>
        <v>147505.29563663463</v>
      </c>
      <c r="P127" s="70">
        <f t="shared" si="25"/>
        <v>146466.46208415704</v>
      </c>
      <c r="Q127" s="70">
        <f t="shared" si="26"/>
        <v>148544.12918911249</v>
      </c>
      <c r="S127" s="57">
        <v>7.1</v>
      </c>
      <c r="T127" s="57">
        <v>10.65</v>
      </c>
      <c r="AA127" s="197"/>
    </row>
    <row r="128" spans="1:27" ht="15" x14ac:dyDescent="0.3">
      <c r="A128" s="60">
        <v>44603</v>
      </c>
      <c r="B128" s="60">
        <v>44788</v>
      </c>
      <c r="C128" s="54">
        <f t="shared" si="17"/>
        <v>96696.24</v>
      </c>
      <c r="D128" s="54">
        <f t="shared" si="23"/>
        <v>96638.59</v>
      </c>
      <c r="E128" s="54">
        <f t="shared" si="19"/>
        <v>96652.569615190179</v>
      </c>
      <c r="F128" s="115">
        <f t="shared" si="18"/>
        <v>67.14</v>
      </c>
      <c r="G128" s="51">
        <f>NETWORKDAYS(A128,B128-1,Feriados!$A$2:$A$2000)</f>
        <v>126</v>
      </c>
      <c r="H128" s="121">
        <v>6.95</v>
      </c>
      <c r="I128" s="57">
        <v>10.65</v>
      </c>
      <c r="J128" s="53">
        <f t="shared" si="24"/>
        <v>1.0004016754139</v>
      </c>
      <c r="K128" s="117">
        <f>ROUND(VLOOKUP(A128,'VNA e PRT'!B:G,6,FALSE),2)</f>
        <v>6149.93</v>
      </c>
      <c r="L128" s="117">
        <f>ROUND(VLOOKUP(A128,'VNA e PRT'!B:G,3,FALSE),2)</f>
        <v>0.54</v>
      </c>
      <c r="M128" s="113">
        <f t="shared" si="20"/>
        <v>1.0002569795148299</v>
      </c>
      <c r="N128" s="113">
        <f t="shared" si="21"/>
        <v>1.0001446587247411</v>
      </c>
      <c r="O128" s="70">
        <f t="shared" si="22"/>
        <v>147564.54488731193</v>
      </c>
      <c r="P128" s="70">
        <f t="shared" si="25"/>
        <v>146458.15406093714</v>
      </c>
      <c r="Q128" s="70">
        <f t="shared" si="26"/>
        <v>148670.93571368695</v>
      </c>
      <c r="S128" s="57">
        <v>7.02</v>
      </c>
      <c r="T128" s="57">
        <v>10.65</v>
      </c>
      <c r="AA128" s="197"/>
    </row>
    <row r="129" spans="1:27" ht="15" x14ac:dyDescent="0.3">
      <c r="A129" s="60">
        <v>44606</v>
      </c>
      <c r="B129" s="60">
        <v>44788</v>
      </c>
      <c r="C129" s="54">
        <f t="shared" si="17"/>
        <v>96780.4</v>
      </c>
      <c r="D129" s="54">
        <f t="shared" si="23"/>
        <v>96696.24</v>
      </c>
      <c r="E129" s="54">
        <f t="shared" si="19"/>
        <v>96710.234338081005</v>
      </c>
      <c r="F129" s="115">
        <f t="shared" si="18"/>
        <v>107.9</v>
      </c>
      <c r="G129" s="51">
        <f>NETWORKDAYS(A129,B129-1,Feriados!$A$2:$A$2000)</f>
        <v>125</v>
      </c>
      <c r="H129" s="121">
        <v>6.82</v>
      </c>
      <c r="I129" s="57">
        <v>10.65</v>
      </c>
      <c r="J129" s="53">
        <f t="shared" si="24"/>
        <v>1.0004016754139</v>
      </c>
      <c r="K129" s="117">
        <f>ROUND(VLOOKUP(A129,'VNA e PRT'!B:G,6,FALSE),2)</f>
        <v>6151.51</v>
      </c>
      <c r="L129" s="117">
        <f>ROUND(VLOOKUP(A129,'VNA e PRT'!B:G,3,FALSE),2)</f>
        <v>0.54</v>
      </c>
      <c r="M129" s="113">
        <f t="shared" si="20"/>
        <v>1.0002569134933199</v>
      </c>
      <c r="N129" s="113">
        <f t="shared" si="21"/>
        <v>1.000144724738842</v>
      </c>
      <c r="O129" s="70">
        <f t="shared" si="22"/>
        <v>147623.8179369565</v>
      </c>
      <c r="P129" s="70">
        <f t="shared" si="25"/>
        <v>146409.08270058859</v>
      </c>
      <c r="Q129" s="70">
        <f t="shared" si="26"/>
        <v>148838.55317332465</v>
      </c>
      <c r="S129" s="57">
        <v>6.95</v>
      </c>
      <c r="T129" s="57">
        <v>10.65</v>
      </c>
      <c r="AA129" s="197"/>
    </row>
    <row r="130" spans="1:27" ht="15" x14ac:dyDescent="0.3">
      <c r="A130" s="60">
        <v>44607</v>
      </c>
      <c r="B130" s="60">
        <v>44788</v>
      </c>
      <c r="C130" s="54">
        <f t="shared" si="17"/>
        <v>96890.58</v>
      </c>
      <c r="D130" s="54">
        <f t="shared" si="23"/>
        <v>96780.4</v>
      </c>
      <c r="E130" s="54">
        <f t="shared" si="19"/>
        <v>96794.412903704477</v>
      </c>
      <c r="F130" s="115">
        <f t="shared" si="18"/>
        <v>147.93</v>
      </c>
      <c r="G130" s="51">
        <f>NETWORKDAYS(A130,B130-1,Feriados!$A$2:$A$2000)</f>
        <v>124</v>
      </c>
      <c r="H130" s="121">
        <v>6.63</v>
      </c>
      <c r="I130" s="57">
        <v>10.65</v>
      </c>
      <c r="J130" s="53">
        <f t="shared" si="24"/>
        <v>1.0004016754139</v>
      </c>
      <c r="K130" s="117">
        <f>ROUND(VLOOKUP(A130,'VNA e PRT'!B:G,6,FALSE),2)</f>
        <v>6153.09</v>
      </c>
      <c r="L130" s="117">
        <f>ROUND(VLOOKUP(A130,'VNA e PRT'!B:G,3,FALSE),2)</f>
        <v>0.54</v>
      </c>
      <c r="M130" s="113">
        <f t="shared" si="20"/>
        <v>1.0002568475057301</v>
      </c>
      <c r="N130" s="113">
        <f t="shared" si="21"/>
        <v>1.0001447907190348</v>
      </c>
      <c r="O130" s="70">
        <f t="shared" si="22"/>
        <v>147683.11479512783</v>
      </c>
      <c r="P130" s="70">
        <f t="shared" si="25"/>
        <v>146319.96162948108</v>
      </c>
      <c r="Q130" s="70">
        <f t="shared" si="26"/>
        <v>149046.2679607748</v>
      </c>
      <c r="S130" s="57">
        <v>6.82</v>
      </c>
      <c r="T130" s="57">
        <v>10.65</v>
      </c>
      <c r="AA130" s="197"/>
    </row>
    <row r="131" spans="1:27" ht="15" x14ac:dyDescent="0.3">
      <c r="A131" s="60">
        <v>44608</v>
      </c>
      <c r="B131" s="60">
        <v>44788</v>
      </c>
      <c r="C131" s="54">
        <f t="shared" si="17"/>
        <v>96888.66</v>
      </c>
      <c r="D131" s="54">
        <f t="shared" si="23"/>
        <v>96890.58</v>
      </c>
      <c r="E131" s="54">
        <f t="shared" si="19"/>
        <v>96881.790530087907</v>
      </c>
      <c r="F131" s="115">
        <f t="shared" ref="F131:F194" si="44">TRUNC((C131-E131)*0.00025*K131,2)</f>
        <v>10.57</v>
      </c>
      <c r="G131" s="51">
        <f>NETWORKDAYS(A131,B131-1,Feriados!$A$2:$A$2000)</f>
        <v>123</v>
      </c>
      <c r="H131" s="121">
        <v>6.69</v>
      </c>
      <c r="I131" s="57">
        <v>10.65</v>
      </c>
      <c r="J131" s="53">
        <f t="shared" si="24"/>
        <v>1.0004016754139</v>
      </c>
      <c r="K131" s="117">
        <f>ROUND(VLOOKUP(A131,'VNA e PRT'!B:G,6,FALSE),2)</f>
        <v>6156.12</v>
      </c>
      <c r="L131" s="117">
        <f>ROUND(VLOOKUP(A131,'VNA e PRT'!B:G,3,FALSE),2)</f>
        <v>0.89</v>
      </c>
      <c r="M131" s="113">
        <f t="shared" si="20"/>
        <v>1.00049243550801</v>
      </c>
      <c r="N131" s="113">
        <f t="shared" si="21"/>
        <v>0.99990928457738515</v>
      </c>
      <c r="O131" s="70">
        <f t="shared" si="22"/>
        <v>147742.43547138921</v>
      </c>
      <c r="P131" s="70">
        <f t="shared" si="25"/>
        <v>146368.16476063043</v>
      </c>
      <c r="Q131" s="70">
        <f t="shared" si="26"/>
        <v>149116.70618214819</v>
      </c>
      <c r="S131" s="57">
        <v>6.63</v>
      </c>
      <c r="T131" s="57">
        <v>10.65</v>
      </c>
      <c r="AA131" s="197"/>
    </row>
    <row r="132" spans="1:27" ht="15" x14ac:dyDescent="0.3">
      <c r="A132" s="60">
        <v>44609</v>
      </c>
      <c r="B132" s="60">
        <v>44788</v>
      </c>
      <c r="C132" s="54">
        <f t="shared" si="17"/>
        <v>96882.79</v>
      </c>
      <c r="D132" s="54">
        <f t="shared" si="23"/>
        <v>96888.66</v>
      </c>
      <c r="E132" s="54">
        <f t="shared" si="19"/>
        <v>96879.894173810724</v>
      </c>
      <c r="F132" s="115">
        <f t="shared" si="44"/>
        <v>4.45</v>
      </c>
      <c r="G132" s="51">
        <f>NETWORKDAYS(A132,B132-1,Feriados!$A$2:$A$2000)</f>
        <v>122</v>
      </c>
      <c r="H132" s="121">
        <v>6.76</v>
      </c>
      <c r="I132" s="57">
        <v>10.65</v>
      </c>
      <c r="J132" s="53">
        <f t="shared" si="24"/>
        <v>1.0004016754139</v>
      </c>
      <c r="K132" s="117">
        <f>ROUND(VLOOKUP(A132,'VNA e PRT'!B:G,6,FALSE),2)</f>
        <v>6159.15</v>
      </c>
      <c r="L132" s="117">
        <f>ROUND(VLOOKUP(A132,'VNA e PRT'!B:G,3,FALSE),2)</f>
        <v>0.89</v>
      </c>
      <c r="M132" s="113">
        <f t="shared" si="20"/>
        <v>1.00049219313464</v>
      </c>
      <c r="N132" s="113">
        <f t="shared" si="21"/>
        <v>0.99990952680954326</v>
      </c>
      <c r="O132" s="70">
        <f t="shared" si="22"/>
        <v>147801.77997530779</v>
      </c>
      <c r="P132" s="70">
        <f t="shared" si="25"/>
        <v>146422.50725379243</v>
      </c>
      <c r="Q132" s="70">
        <f t="shared" si="26"/>
        <v>149181.05269682332</v>
      </c>
      <c r="S132" s="57">
        <v>6.69</v>
      </c>
      <c r="T132" s="57">
        <v>10.65</v>
      </c>
      <c r="AA132" s="197"/>
    </row>
    <row r="133" spans="1:27" ht="15" x14ac:dyDescent="0.3">
      <c r="A133" s="60">
        <v>44610</v>
      </c>
      <c r="B133" s="60">
        <v>44788</v>
      </c>
      <c r="C133" s="54">
        <f t="shared" ref="C133:C196" si="45">+ROUND((100000/(1+H133/100)^(G133/252)),2)</f>
        <v>96868.74</v>
      </c>
      <c r="D133" s="54">
        <f t="shared" ref="D133:D196" si="46">+C132</f>
        <v>96882.79</v>
      </c>
      <c r="E133" s="54">
        <f t="shared" si="19"/>
        <v>96874.048149937764</v>
      </c>
      <c r="F133" s="115">
        <f t="shared" si="44"/>
        <v>-8.17</v>
      </c>
      <c r="G133" s="51">
        <f>NETWORKDAYS(A133,B133-1,Feriados!$A$2:$A$2000)</f>
        <v>121</v>
      </c>
      <c r="H133" s="121">
        <v>6.85</v>
      </c>
      <c r="I133" s="57">
        <v>10.65</v>
      </c>
      <c r="J133" s="53">
        <f t="shared" si="24"/>
        <v>1.0004016754139</v>
      </c>
      <c r="K133" s="117">
        <f>ROUND(VLOOKUP(A133,'VNA e PRT'!B:G,6,FALSE),2)</f>
        <v>6162.18</v>
      </c>
      <c r="L133" s="117">
        <f>ROUND(VLOOKUP(A133,'VNA e PRT'!B:G,3,FALSE),2)</f>
        <v>0.89</v>
      </c>
      <c r="M133" s="113">
        <f t="shared" si="20"/>
        <v>1.0004919509997301</v>
      </c>
      <c r="N133" s="113">
        <f t="shared" si="21"/>
        <v>0.99990976880349725</v>
      </c>
      <c r="O133" s="70">
        <f t="shared" si="22"/>
        <v>147861.14831645452</v>
      </c>
      <c r="P133" s="70">
        <f t="shared" si="25"/>
        <v>146489.4915749979</v>
      </c>
      <c r="Q133" s="70">
        <f t="shared" si="26"/>
        <v>149232.80505791135</v>
      </c>
      <c r="S133" s="57">
        <v>6.76</v>
      </c>
      <c r="T133" s="57">
        <v>10.65</v>
      </c>
      <c r="AA133" s="197"/>
    </row>
    <row r="134" spans="1:27" ht="15" x14ac:dyDescent="0.3">
      <c r="A134" s="60">
        <v>44613</v>
      </c>
      <c r="B134" s="60">
        <v>44788</v>
      </c>
      <c r="C134" s="54">
        <f t="shared" si="45"/>
        <v>96864</v>
      </c>
      <c r="D134" s="54">
        <f t="shared" si="46"/>
        <v>96868.74</v>
      </c>
      <c r="E134" s="54">
        <f t="shared" ref="E134:E197" si="47">D134*N134</f>
        <v>96860.022836292934</v>
      </c>
      <c r="F134" s="115">
        <f t="shared" si="44"/>
        <v>6.13</v>
      </c>
      <c r="G134" s="51">
        <f>NETWORKDAYS(A134,B134-1,Feriados!$A$2:$A$2000)</f>
        <v>120</v>
      </c>
      <c r="H134" s="121">
        <v>6.92</v>
      </c>
      <c r="I134" s="57">
        <v>10.65</v>
      </c>
      <c r="J134" s="53">
        <f t="shared" si="24"/>
        <v>1.0004016754139</v>
      </c>
      <c r="K134" s="117">
        <f>ROUND(VLOOKUP(A134,'VNA e PRT'!B:G,6,FALSE),2)</f>
        <v>6165.21</v>
      </c>
      <c r="L134" s="117">
        <f>ROUND(VLOOKUP(A134,'VNA e PRT'!B:G,3,FALSE),2)</f>
        <v>0.89</v>
      </c>
      <c r="M134" s="113">
        <f t="shared" ref="M134:M197" si="48">ROUND(K134/K133,100)</f>
        <v>1.0004917091029499</v>
      </c>
      <c r="N134" s="113">
        <f t="shared" ref="N134:N197" si="49">+J134/M134</f>
        <v>0.99991001055957707</v>
      </c>
      <c r="O134" s="70">
        <f t="shared" ref="O134:O197" si="50">+O133*J133</f>
        <v>147920.54050440426</v>
      </c>
      <c r="P134" s="70">
        <f t="shared" si="25"/>
        <v>146542.20280215828</v>
      </c>
      <c r="Q134" s="70">
        <f t="shared" si="26"/>
        <v>149298.87820665044</v>
      </c>
      <c r="S134" s="57">
        <v>6.85</v>
      </c>
      <c r="T134" s="57">
        <v>10.65</v>
      </c>
      <c r="AA134" s="197"/>
    </row>
    <row r="135" spans="1:27" ht="15" x14ac:dyDescent="0.3">
      <c r="A135" s="60">
        <v>44614</v>
      </c>
      <c r="B135" s="60">
        <v>44788</v>
      </c>
      <c r="C135" s="54">
        <f t="shared" si="45"/>
        <v>96842.69</v>
      </c>
      <c r="D135" s="54">
        <f t="shared" si="46"/>
        <v>96864</v>
      </c>
      <c r="E135" s="54">
        <f t="shared" si="47"/>
        <v>96855.149634954752</v>
      </c>
      <c r="F135" s="115">
        <f t="shared" si="44"/>
        <v>-19.21</v>
      </c>
      <c r="G135" s="51">
        <f>NETWORKDAYS(A135,B135-1,Feriados!$A$2:$A$2000)</f>
        <v>119</v>
      </c>
      <c r="H135" s="121">
        <v>7.03</v>
      </c>
      <c r="I135" s="57">
        <v>10.65</v>
      </c>
      <c r="J135" s="53">
        <f t="shared" si="24"/>
        <v>1.0004016754139</v>
      </c>
      <c r="K135" s="117">
        <f>ROUND(VLOOKUP(A135,'VNA e PRT'!B:G,6,FALSE),2)</f>
        <v>6168.25</v>
      </c>
      <c r="L135" s="117">
        <f>ROUND(VLOOKUP(A135,'VNA e PRT'!B:G,3,FALSE),2)</f>
        <v>0.89</v>
      </c>
      <c r="M135" s="113">
        <f t="shared" si="48"/>
        <v>1.0004930894487001</v>
      </c>
      <c r="N135" s="113">
        <f t="shared" si="49"/>
        <v>0.99990863101828076</v>
      </c>
      <c r="O135" s="70">
        <f t="shared" si="50"/>
        <v>147979.95654873567</v>
      </c>
      <c r="P135" s="70">
        <f t="shared" si="25"/>
        <v>146620.27520212266</v>
      </c>
      <c r="Q135" s="70">
        <f t="shared" si="26"/>
        <v>149339.63789534892</v>
      </c>
      <c r="S135" s="57">
        <v>6.92</v>
      </c>
      <c r="T135" s="57">
        <v>10.65</v>
      </c>
      <c r="AA135" s="197"/>
    </row>
    <row r="136" spans="1:27" ht="15" x14ac:dyDescent="0.3">
      <c r="A136" s="60">
        <v>44615</v>
      </c>
      <c r="B136" s="60">
        <v>44788</v>
      </c>
      <c r="C136" s="54">
        <f t="shared" si="45"/>
        <v>96911.21</v>
      </c>
      <c r="D136" s="54">
        <f t="shared" si="46"/>
        <v>96842.69</v>
      </c>
      <c r="E136" s="54">
        <f t="shared" si="47"/>
        <v>96833.865102742129</v>
      </c>
      <c r="F136" s="115">
        <f t="shared" si="44"/>
        <v>119.32</v>
      </c>
      <c r="G136" s="51">
        <f>NETWORKDAYS(A136,B136-1,Feriados!$A$2:$A$2000)</f>
        <v>118</v>
      </c>
      <c r="H136" s="121">
        <v>6.93</v>
      </c>
      <c r="I136" s="57">
        <v>10.65</v>
      </c>
      <c r="J136" s="53">
        <f t="shared" ref="J136:J199" si="51">ROUND(+(1+I136/100)^(1/252),100)</f>
        <v>1.0004016754139</v>
      </c>
      <c r="K136" s="117">
        <f>ROUND(VLOOKUP(A136,'VNA e PRT'!B:G,6,FALSE),2)</f>
        <v>6171.29</v>
      </c>
      <c r="L136" s="117">
        <f>ROUND(VLOOKUP(A136,'VNA e PRT'!B:G,3,FALSE),2)</f>
        <v>0.89</v>
      </c>
      <c r="M136" s="113">
        <f t="shared" si="48"/>
        <v>1.0004928464313201</v>
      </c>
      <c r="N136" s="113">
        <f t="shared" si="49"/>
        <v>0.99990887389375616</v>
      </c>
      <c r="O136" s="70">
        <f t="shared" si="50"/>
        <v>148039.3964590313</v>
      </c>
      <c r="P136" s="70">
        <f t="shared" ref="P136:P199" si="52">+(P135*J135)-F136</f>
        <v>146559.8489618506</v>
      </c>
      <c r="Q136" s="70">
        <f t="shared" ref="Q136:Q199" si="53">+(Q135*J135)+F136</f>
        <v>149518.94395621223</v>
      </c>
      <c r="S136" s="57">
        <v>7.03</v>
      </c>
      <c r="T136" s="57">
        <v>10.65</v>
      </c>
      <c r="AA136" s="197"/>
    </row>
    <row r="137" spans="1:27" ht="15" x14ac:dyDescent="0.3">
      <c r="A137" s="60">
        <v>44616</v>
      </c>
      <c r="B137" s="60">
        <v>44788</v>
      </c>
      <c r="C137" s="54">
        <f t="shared" si="45"/>
        <v>97004.4</v>
      </c>
      <c r="D137" s="54">
        <f t="shared" si="46"/>
        <v>96911.21</v>
      </c>
      <c r="E137" s="54">
        <f t="shared" si="47"/>
        <v>96883.886520049869</v>
      </c>
      <c r="F137" s="115">
        <f t="shared" si="44"/>
        <v>186.05</v>
      </c>
      <c r="G137" s="51">
        <f>NETWORKDAYS(A137,B137-1,Feriados!$A$2:$A$2000)</f>
        <v>117</v>
      </c>
      <c r="H137" s="121">
        <v>6.77</v>
      </c>
      <c r="I137" s="57">
        <v>10.65</v>
      </c>
      <c r="J137" s="53">
        <f t="shared" si="51"/>
        <v>1.0004016754139</v>
      </c>
      <c r="K137" s="117">
        <f>ROUND(VLOOKUP(A137,'VNA e PRT'!B:G,6,FALSE),2)</f>
        <v>6175.51</v>
      </c>
      <c r="L137" s="117">
        <f>ROUND(VLOOKUP(A137,'VNA e PRT'!B:G,3,FALSE),2)</f>
        <v>0.94</v>
      </c>
      <c r="M137" s="113">
        <f t="shared" si="48"/>
        <v>1.0006838116504</v>
      </c>
      <c r="N137" s="113">
        <f t="shared" si="49"/>
        <v>0.99971805655970924</v>
      </c>
      <c r="O137" s="70">
        <f t="shared" si="50"/>
        <v>148098.86024487749</v>
      </c>
      <c r="P137" s="70">
        <f t="shared" si="52"/>
        <v>146432.66844984348</v>
      </c>
      <c r="Q137" s="70">
        <f t="shared" si="53"/>
        <v>149765.05203991171</v>
      </c>
      <c r="S137" s="57">
        <v>6.93</v>
      </c>
      <c r="T137" s="57">
        <v>10.65</v>
      </c>
      <c r="AA137" s="197"/>
    </row>
    <row r="138" spans="1:27" ht="15" x14ac:dyDescent="0.3">
      <c r="A138" s="60">
        <v>44617</v>
      </c>
      <c r="B138" s="60">
        <v>44788</v>
      </c>
      <c r="C138" s="54">
        <f t="shared" si="45"/>
        <v>97017.07</v>
      </c>
      <c r="D138" s="54">
        <f t="shared" si="46"/>
        <v>97004.4</v>
      </c>
      <c r="E138" s="54">
        <f t="shared" si="47"/>
        <v>96992.790842187082</v>
      </c>
      <c r="F138" s="115">
        <f t="shared" si="44"/>
        <v>37.5</v>
      </c>
      <c r="G138" s="51">
        <f>NETWORKDAYS(A138,B138-1,Feriados!$A$2:$A$2000)</f>
        <v>116</v>
      </c>
      <c r="H138" s="121">
        <v>6.8</v>
      </c>
      <c r="I138" s="57">
        <v>10.65</v>
      </c>
      <c r="J138" s="53">
        <f t="shared" si="51"/>
        <v>1.0004016754139</v>
      </c>
      <c r="K138" s="117">
        <f>ROUND(VLOOKUP(A138,'VNA e PRT'!B:G,6,FALSE),2)</f>
        <v>6178.73</v>
      </c>
      <c r="L138" s="117">
        <f>ROUND(VLOOKUP(A138,'VNA e PRT'!B:G,3,FALSE),2)</f>
        <v>0.94</v>
      </c>
      <c r="M138" s="113">
        <f t="shared" si="48"/>
        <v>1.00052141442569</v>
      </c>
      <c r="N138" s="113">
        <f t="shared" si="49"/>
        <v>0.99988032338932131</v>
      </c>
      <c r="O138" s="70">
        <f t="shared" si="50"/>
        <v>148158.34791586446</v>
      </c>
      <c r="P138" s="70">
        <f t="shared" si="52"/>
        <v>146453.98685255155</v>
      </c>
      <c r="Q138" s="70">
        <f t="shared" si="53"/>
        <v>149862.70897917761</v>
      </c>
      <c r="S138" s="57">
        <v>6.77</v>
      </c>
      <c r="T138" s="57">
        <v>10.65</v>
      </c>
      <c r="AA138" s="197"/>
    </row>
    <row r="139" spans="1:27" ht="15" x14ac:dyDescent="0.3">
      <c r="A139" s="60">
        <v>44622</v>
      </c>
      <c r="B139" s="60">
        <v>44788</v>
      </c>
      <c r="C139" s="54">
        <f t="shared" si="45"/>
        <v>97146.240000000005</v>
      </c>
      <c r="D139" s="54">
        <f t="shared" si="46"/>
        <v>97017.07</v>
      </c>
      <c r="E139" s="54">
        <f t="shared" si="47"/>
        <v>97005.642589122202</v>
      </c>
      <c r="F139" s="115">
        <f t="shared" si="44"/>
        <v>217.29</v>
      </c>
      <c r="G139" s="51">
        <f>NETWORKDAYS(A139,B139-1,Feriados!$A$2:$A$2000)</f>
        <v>115</v>
      </c>
      <c r="H139" s="121">
        <v>6.55</v>
      </c>
      <c r="I139" s="57">
        <v>10.65</v>
      </c>
      <c r="J139" s="53">
        <f t="shared" si="51"/>
        <v>1.0004016754139</v>
      </c>
      <c r="K139" s="117">
        <f>ROUND(VLOOKUP(A139,'VNA e PRT'!B:G,6,FALSE),2)</f>
        <v>6181.94</v>
      </c>
      <c r="L139" s="117">
        <f>ROUND(VLOOKUP(A139,'VNA e PRT'!B:G,3,FALSE),2)</f>
        <v>0.94</v>
      </c>
      <c r="M139" s="113">
        <f t="shared" si="48"/>
        <v>1.0005195242388001</v>
      </c>
      <c r="N139" s="113">
        <f t="shared" si="49"/>
        <v>0.99988221236862951</v>
      </c>
      <c r="O139" s="70">
        <f t="shared" si="50"/>
        <v>148217.85948158632</v>
      </c>
      <c r="P139" s="70">
        <f t="shared" si="52"/>
        <v>146295.52381833785</v>
      </c>
      <c r="Q139" s="70">
        <f t="shared" si="53"/>
        <v>150140.19514483502</v>
      </c>
      <c r="S139" s="57">
        <v>6.8</v>
      </c>
      <c r="T139" s="57">
        <v>10.65</v>
      </c>
      <c r="AA139" s="197"/>
    </row>
    <row r="140" spans="1:27" ht="15" x14ac:dyDescent="0.3">
      <c r="A140" s="60">
        <v>44623</v>
      </c>
      <c r="B140" s="60">
        <v>44788</v>
      </c>
      <c r="C140" s="54">
        <f t="shared" si="45"/>
        <v>97216.12</v>
      </c>
      <c r="D140" s="54">
        <f t="shared" si="46"/>
        <v>97146.240000000005</v>
      </c>
      <c r="E140" s="54">
        <f t="shared" si="47"/>
        <v>97134.823564491366</v>
      </c>
      <c r="F140" s="115">
        <f t="shared" si="44"/>
        <v>125.7</v>
      </c>
      <c r="G140" s="51">
        <f>NETWORKDAYS(A140,B140-1,Feriados!$A$2:$A$2000)</f>
        <v>114</v>
      </c>
      <c r="H140" s="121">
        <v>6.44</v>
      </c>
      <c r="I140" s="57">
        <v>10.65</v>
      </c>
      <c r="J140" s="53">
        <f t="shared" si="51"/>
        <v>1.0004016754139</v>
      </c>
      <c r="K140" s="117">
        <f>ROUND(VLOOKUP(A140,'VNA e PRT'!B:G,6,FALSE),2)</f>
        <v>6185.15</v>
      </c>
      <c r="L140" s="117">
        <f>ROUND(VLOOKUP(A140,'VNA e PRT'!B:G,3,FALSE),2)</f>
        <v>0.94</v>
      </c>
      <c r="M140" s="113">
        <f t="shared" si="48"/>
        <v>1.00051925447351</v>
      </c>
      <c r="N140" s="113">
        <f t="shared" si="49"/>
        <v>0.9998824819621569</v>
      </c>
      <c r="O140" s="70">
        <f t="shared" si="50"/>
        <v>148277.39495164095</v>
      </c>
      <c r="P140" s="70">
        <f t="shared" si="52"/>
        <v>146228.58713341929</v>
      </c>
      <c r="Q140" s="70">
        <f t="shared" si="53"/>
        <v>150326.20276986287</v>
      </c>
      <c r="S140" s="57">
        <v>6.55</v>
      </c>
      <c r="T140" s="57">
        <v>10.65</v>
      </c>
      <c r="AA140" s="197"/>
    </row>
    <row r="141" spans="1:27" ht="15" x14ac:dyDescent="0.3">
      <c r="A141" s="60">
        <v>44624</v>
      </c>
      <c r="B141" s="60">
        <v>44788</v>
      </c>
      <c r="C141" s="54">
        <f t="shared" si="45"/>
        <v>97285.29</v>
      </c>
      <c r="D141" s="54">
        <f t="shared" si="46"/>
        <v>97216.12</v>
      </c>
      <c r="E141" s="54">
        <f t="shared" si="47"/>
        <v>97204.56445752304</v>
      </c>
      <c r="F141" s="115">
        <f t="shared" si="44"/>
        <v>124.88</v>
      </c>
      <c r="G141" s="51">
        <f>NETWORKDAYS(A141,B141-1,Feriados!$A$2:$A$2000)</f>
        <v>113</v>
      </c>
      <c r="H141" s="121">
        <v>6.33</v>
      </c>
      <c r="I141" s="57">
        <v>10.65</v>
      </c>
      <c r="J141" s="53">
        <f t="shared" si="51"/>
        <v>1.0004016754139</v>
      </c>
      <c r="K141" s="117">
        <f>ROUND(VLOOKUP(A141,'VNA e PRT'!B:G,6,FALSE),2)</f>
        <v>6188.37</v>
      </c>
      <c r="L141" s="117">
        <f>ROUND(VLOOKUP(A141,'VNA e PRT'!B:G,3,FALSE),2)</f>
        <v>0.94</v>
      </c>
      <c r="M141" s="113">
        <f t="shared" si="48"/>
        <v>1.0005206017638999</v>
      </c>
      <c r="N141" s="113">
        <f t="shared" si="49"/>
        <v>0.99988113553105229</v>
      </c>
      <c r="O141" s="70">
        <f t="shared" si="50"/>
        <v>148336.95433563017</v>
      </c>
      <c r="P141" s="70">
        <f t="shared" si="52"/>
        <v>146162.44356168012</v>
      </c>
      <c r="Q141" s="70">
        <f t="shared" si="53"/>
        <v>150511.46510958049</v>
      </c>
      <c r="S141" s="57">
        <v>6.44</v>
      </c>
      <c r="T141" s="57">
        <v>10.65</v>
      </c>
      <c r="AA141" s="197"/>
    </row>
    <row r="142" spans="1:27" ht="15" x14ac:dyDescent="0.3">
      <c r="A142" s="60">
        <v>44627</v>
      </c>
      <c r="B142" s="60">
        <v>44788</v>
      </c>
      <c r="C142" s="54">
        <f t="shared" si="45"/>
        <v>97325.27</v>
      </c>
      <c r="D142" s="54">
        <f t="shared" si="46"/>
        <v>97285.29</v>
      </c>
      <c r="E142" s="54">
        <f t="shared" si="47"/>
        <v>97273.909678484459</v>
      </c>
      <c r="F142" s="115">
        <f t="shared" si="44"/>
        <v>79.5</v>
      </c>
      <c r="G142" s="51">
        <f>NETWORKDAYS(A142,B142-1,Feriados!$A$2:$A$2000)</f>
        <v>112</v>
      </c>
      <c r="H142" s="121">
        <v>6.29</v>
      </c>
      <c r="I142" s="57">
        <v>10.65</v>
      </c>
      <c r="J142" s="53">
        <f t="shared" si="51"/>
        <v>1.0004016754139</v>
      </c>
      <c r="K142" s="117">
        <f>ROUND(VLOOKUP(A142,'VNA e PRT'!B:G,6,FALSE),2)</f>
        <v>6191.58</v>
      </c>
      <c r="L142" s="117">
        <f>ROUND(VLOOKUP(A142,'VNA e PRT'!B:G,3,FALSE),2)</f>
        <v>0.94</v>
      </c>
      <c r="M142" s="113">
        <f t="shared" si="48"/>
        <v>1.00051871494432</v>
      </c>
      <c r="N142" s="113">
        <f t="shared" si="49"/>
        <v>0.99988302114825856</v>
      </c>
      <c r="O142" s="70">
        <f t="shared" si="50"/>
        <v>148396.53764315959</v>
      </c>
      <c r="P142" s="70">
        <f t="shared" si="52"/>
        <v>146141.65342169438</v>
      </c>
      <c r="Q142" s="70">
        <f t="shared" si="53"/>
        <v>150651.42186462507</v>
      </c>
      <c r="S142" s="57">
        <v>6.33</v>
      </c>
      <c r="T142" s="57">
        <v>10.65</v>
      </c>
      <c r="AA142" s="197"/>
    </row>
    <row r="143" spans="1:27" ht="15" x14ac:dyDescent="0.3">
      <c r="A143" s="60">
        <v>44628</v>
      </c>
      <c r="B143" s="60">
        <v>44788</v>
      </c>
      <c r="C143" s="54">
        <f t="shared" si="45"/>
        <v>97360.93</v>
      </c>
      <c r="D143" s="54">
        <f t="shared" si="46"/>
        <v>97325.27</v>
      </c>
      <c r="E143" s="54">
        <f t="shared" si="47"/>
        <v>97313.7540686391</v>
      </c>
      <c r="F143" s="115">
        <f t="shared" si="44"/>
        <v>73.06</v>
      </c>
      <c r="G143" s="51">
        <f>NETWORKDAYS(A143,B143-1,Feriados!$A$2:$A$2000)</f>
        <v>111</v>
      </c>
      <c r="H143" s="121">
        <v>6.26</v>
      </c>
      <c r="I143" s="57">
        <v>10.65</v>
      </c>
      <c r="J143" s="53">
        <f t="shared" si="51"/>
        <v>1.0004016754139</v>
      </c>
      <c r="K143" s="117">
        <f>ROUND(VLOOKUP(A143,'VNA e PRT'!B:G,6,FALSE),2)</f>
        <v>6194.8</v>
      </c>
      <c r="L143" s="117">
        <f>ROUND(VLOOKUP(A143,'VNA e PRT'!B:G,3,FALSE),2)</f>
        <v>0.94</v>
      </c>
      <c r="M143" s="113">
        <f t="shared" si="48"/>
        <v>1.00052006111526</v>
      </c>
      <c r="N143" s="113">
        <f t="shared" si="49"/>
        <v>0.99988167583443743</v>
      </c>
      <c r="O143" s="70">
        <f t="shared" si="50"/>
        <v>148456.14488383874</v>
      </c>
      <c r="P143" s="70">
        <f t="shared" si="52"/>
        <v>146127.29493082059</v>
      </c>
      <c r="Q143" s="70">
        <f t="shared" si="53"/>
        <v>150784.99483685716</v>
      </c>
      <c r="S143" s="57">
        <v>6.29</v>
      </c>
      <c r="T143" s="57">
        <v>10.65</v>
      </c>
      <c r="AA143" s="197"/>
    </row>
    <row r="144" spans="1:27" ht="15" x14ac:dyDescent="0.3">
      <c r="A144" s="60">
        <v>44629</v>
      </c>
      <c r="B144" s="60">
        <v>44788</v>
      </c>
      <c r="C144" s="54">
        <f t="shared" si="45"/>
        <v>97376.39</v>
      </c>
      <c r="D144" s="54">
        <f t="shared" si="46"/>
        <v>97360.93</v>
      </c>
      <c r="E144" s="54">
        <f t="shared" si="47"/>
        <v>97349.436151310336</v>
      </c>
      <c r="F144" s="115">
        <f t="shared" si="44"/>
        <v>41.76</v>
      </c>
      <c r="G144" s="51">
        <f>NETWORKDAYS(A144,B144-1,Feriados!$A$2:$A$2000)</f>
        <v>110</v>
      </c>
      <c r="H144" s="121">
        <v>6.28</v>
      </c>
      <c r="I144" s="57">
        <v>10.65</v>
      </c>
      <c r="J144" s="53">
        <f t="shared" si="51"/>
        <v>1.0004016754139</v>
      </c>
      <c r="K144" s="117">
        <f>ROUND(VLOOKUP(A144,'VNA e PRT'!B:G,6,FALSE),2)</f>
        <v>6198.02</v>
      </c>
      <c r="L144" s="117">
        <f>ROUND(VLOOKUP(A144,'VNA e PRT'!B:G,3,FALSE),2)</f>
        <v>0.94</v>
      </c>
      <c r="M144" s="113">
        <f t="shared" si="48"/>
        <v>1.00051979079228</v>
      </c>
      <c r="N144" s="113">
        <f t="shared" si="49"/>
        <v>0.99988194598501001</v>
      </c>
      <c r="O144" s="70">
        <f t="shared" si="50"/>
        <v>148515.77606728097</v>
      </c>
      <c r="P144" s="70">
        <f t="shared" si="52"/>
        <v>146144.23067249401</v>
      </c>
      <c r="Q144" s="70">
        <f t="shared" si="53"/>
        <v>150887.32146206818</v>
      </c>
      <c r="S144" s="57">
        <v>6.26</v>
      </c>
      <c r="T144" s="57">
        <v>10.65</v>
      </c>
      <c r="AA144" s="197"/>
    </row>
    <row r="145" spans="1:27" ht="15" x14ac:dyDescent="0.3">
      <c r="A145" s="60">
        <v>44630</v>
      </c>
      <c r="B145" s="60">
        <v>44788</v>
      </c>
      <c r="C145" s="54">
        <f t="shared" si="45"/>
        <v>97539</v>
      </c>
      <c r="D145" s="54">
        <f t="shared" si="46"/>
        <v>97376.39</v>
      </c>
      <c r="E145" s="54">
        <f t="shared" si="47"/>
        <v>97364.763596624616</v>
      </c>
      <c r="F145" s="115">
        <f t="shared" si="44"/>
        <v>270.12</v>
      </c>
      <c r="G145" s="51">
        <f>NETWORKDAYS(A145,B145-1,Feriados!$A$2:$A$2000)</f>
        <v>109</v>
      </c>
      <c r="H145" s="121">
        <v>5.93</v>
      </c>
      <c r="I145" s="57">
        <v>10.65</v>
      </c>
      <c r="J145" s="53">
        <f t="shared" si="51"/>
        <v>1.0004016754139</v>
      </c>
      <c r="K145" s="117">
        <f>ROUND(VLOOKUP(A145,'VNA e PRT'!B:G,6,FALSE),2)</f>
        <v>6201.25</v>
      </c>
      <c r="L145" s="117">
        <f>ROUND(VLOOKUP(A145,'VNA e PRT'!B:G,3,FALSE),2)</f>
        <v>0.94</v>
      </c>
      <c r="M145" s="113">
        <f t="shared" si="48"/>
        <v>1.00052113416865</v>
      </c>
      <c r="N145" s="113">
        <f t="shared" si="49"/>
        <v>0.99988060346686314</v>
      </c>
      <c r="O145" s="70">
        <f t="shared" si="50"/>
        <v>148575.43120310348</v>
      </c>
      <c r="P145" s="70">
        <f t="shared" si="52"/>
        <v>145932.81321683849</v>
      </c>
      <c r="Q145" s="70">
        <f t="shared" si="53"/>
        <v>151218.04918936873</v>
      </c>
      <c r="S145" s="57">
        <v>6.28</v>
      </c>
      <c r="T145" s="57">
        <v>10.65</v>
      </c>
      <c r="AA145" s="197"/>
    </row>
    <row r="146" spans="1:27" ht="15" x14ac:dyDescent="0.3">
      <c r="A146" s="60">
        <v>44631</v>
      </c>
      <c r="B146" s="60">
        <v>44788</v>
      </c>
      <c r="C146" s="54">
        <f t="shared" si="45"/>
        <v>97763.3</v>
      </c>
      <c r="D146" s="54">
        <f t="shared" si="46"/>
        <v>97539</v>
      </c>
      <c r="E146" s="54">
        <f t="shared" si="47"/>
        <v>97467.371524667309</v>
      </c>
      <c r="F146" s="115">
        <f t="shared" si="44"/>
        <v>459.3</v>
      </c>
      <c r="G146" s="51">
        <f>NETWORKDAYS(A146,B146-1,Feriados!$A$2:$A$2000)</f>
        <v>108</v>
      </c>
      <c r="H146" s="121">
        <v>5.42</v>
      </c>
      <c r="I146" s="57">
        <v>10.65</v>
      </c>
      <c r="J146" s="53">
        <f t="shared" si="51"/>
        <v>1.0004016754139</v>
      </c>
      <c r="K146" s="117">
        <f>ROUND(VLOOKUP(A146,'VNA e PRT'!B:G,6,FALSE),2)</f>
        <v>6208.3</v>
      </c>
      <c r="L146" s="117">
        <f>ROUND(VLOOKUP(A146,'VNA e PRT'!B:G,3,FALSE),2)</f>
        <v>1.01</v>
      </c>
      <c r="M146" s="113">
        <f t="shared" si="48"/>
        <v>1.00113686756702</v>
      </c>
      <c r="N146" s="113">
        <f t="shared" si="49"/>
        <v>0.9992656427138612</v>
      </c>
      <c r="O146" s="70">
        <f t="shared" si="50"/>
        <v>148635.11030092736</v>
      </c>
      <c r="P146" s="70">
        <f t="shared" si="52"/>
        <v>145532.13083998897</v>
      </c>
      <c r="Q146" s="70">
        <f t="shared" si="53"/>
        <v>151738.08976186602</v>
      </c>
      <c r="S146" s="57">
        <v>5.93</v>
      </c>
      <c r="T146" s="57">
        <v>10.65</v>
      </c>
      <c r="AA146" s="197"/>
    </row>
    <row r="147" spans="1:27" ht="15" x14ac:dyDescent="0.3">
      <c r="A147" s="60">
        <v>44634</v>
      </c>
      <c r="B147" s="60">
        <v>44788</v>
      </c>
      <c r="C147" s="54">
        <f t="shared" si="45"/>
        <v>97650.18</v>
      </c>
      <c r="D147" s="54">
        <f t="shared" si="46"/>
        <v>97763.3</v>
      </c>
      <c r="E147" s="54">
        <f t="shared" si="47"/>
        <v>97747.934941312065</v>
      </c>
      <c r="F147" s="115">
        <f t="shared" si="44"/>
        <v>-151.80000000000001</v>
      </c>
      <c r="G147" s="51">
        <f>NETWORKDAYS(A147,B147-1,Feriados!$A$2:$A$2000)</f>
        <v>107</v>
      </c>
      <c r="H147" s="121">
        <v>5.76</v>
      </c>
      <c r="I147" s="57">
        <v>10.65</v>
      </c>
      <c r="J147" s="53">
        <f t="shared" si="51"/>
        <v>1.0004016754139</v>
      </c>
      <c r="K147" s="117">
        <f>ROUND(VLOOKUP(A147,'VNA e PRT'!B:G,6,FALSE),2)</f>
        <v>6211.77</v>
      </c>
      <c r="L147" s="117">
        <f>ROUND(VLOOKUP(A147,'VNA e PRT'!B:G,3,FALSE),2)</f>
        <v>1.01</v>
      </c>
      <c r="M147" s="113">
        <f t="shared" si="48"/>
        <v>1.00055892917546</v>
      </c>
      <c r="N147" s="113">
        <f t="shared" si="49"/>
        <v>0.99984283408305641</v>
      </c>
      <c r="O147" s="70">
        <f t="shared" si="50"/>
        <v>148694.81337037755</v>
      </c>
      <c r="P147" s="70">
        <f t="shared" si="52"/>
        <v>145742.38751887987</v>
      </c>
      <c r="Q147" s="70">
        <f t="shared" si="53"/>
        <v>151647.23922187553</v>
      </c>
      <c r="S147" s="57">
        <v>5.42</v>
      </c>
      <c r="T147" s="57">
        <v>10.65</v>
      </c>
      <c r="AA147" s="197"/>
    </row>
    <row r="148" spans="1:27" ht="15" x14ac:dyDescent="0.3">
      <c r="A148" s="60">
        <v>44635</v>
      </c>
      <c r="B148" s="60">
        <v>44788</v>
      </c>
      <c r="C148" s="54">
        <f t="shared" si="45"/>
        <v>97578.8</v>
      </c>
      <c r="D148" s="54">
        <f t="shared" si="46"/>
        <v>97650.18</v>
      </c>
      <c r="E148" s="54">
        <f t="shared" si="47"/>
        <v>97634.863187162249</v>
      </c>
      <c r="F148" s="115">
        <f t="shared" si="44"/>
        <v>-87.11</v>
      </c>
      <c r="G148" s="51">
        <f>NETWORKDAYS(A148,B148-1,Feriados!$A$2:$A$2000)</f>
        <v>106</v>
      </c>
      <c r="H148" s="121">
        <v>6</v>
      </c>
      <c r="I148" s="57">
        <v>10.65</v>
      </c>
      <c r="J148" s="53">
        <f t="shared" si="51"/>
        <v>1.0004016754139</v>
      </c>
      <c r="K148" s="117">
        <f>ROUND(VLOOKUP(A148,'VNA e PRT'!B:G,6,FALSE),2)</f>
        <v>6215.24</v>
      </c>
      <c r="L148" s="117">
        <f>ROUND(VLOOKUP(A148,'VNA e PRT'!B:G,3,FALSE),2)</f>
        <v>1.01</v>
      </c>
      <c r="M148" s="113">
        <f t="shared" si="48"/>
        <v>1.00055861694815</v>
      </c>
      <c r="N148" s="113">
        <f t="shared" si="49"/>
        <v>0.9998431460870042</v>
      </c>
      <c r="O148" s="70">
        <f t="shared" si="50"/>
        <v>148754.54042108287</v>
      </c>
      <c r="P148" s="70">
        <f t="shared" si="52"/>
        <v>145888.03865270928</v>
      </c>
      <c r="Q148" s="70">
        <f t="shared" si="53"/>
        <v>151621.04218945678</v>
      </c>
      <c r="S148" s="57">
        <v>5.76</v>
      </c>
      <c r="T148" s="57">
        <v>10.65</v>
      </c>
      <c r="AA148" s="197"/>
    </row>
    <row r="149" spans="1:27" ht="15" x14ac:dyDescent="0.3">
      <c r="A149" s="60">
        <v>44636</v>
      </c>
      <c r="B149" s="60">
        <v>44788</v>
      </c>
      <c r="C149" s="54">
        <f t="shared" si="45"/>
        <v>97578.35</v>
      </c>
      <c r="D149" s="54">
        <f t="shared" si="46"/>
        <v>97578.8</v>
      </c>
      <c r="E149" s="54">
        <f t="shared" si="47"/>
        <v>97578.431344103956</v>
      </c>
      <c r="F149" s="115">
        <f t="shared" si="44"/>
        <v>-0.12</v>
      </c>
      <c r="G149" s="51">
        <f>NETWORKDAYS(A149,B149-1,Feriados!$A$2:$A$2000)</f>
        <v>105</v>
      </c>
      <c r="H149" s="121">
        <v>6.06</v>
      </c>
      <c r="I149" s="57">
        <v>10.65</v>
      </c>
      <c r="J149" s="53">
        <f t="shared" si="51"/>
        <v>1.0004016754139</v>
      </c>
      <c r="K149" s="117">
        <f>ROUND(VLOOKUP(A149,'VNA e PRT'!B:G,6,FALSE),2)</f>
        <v>6217.76</v>
      </c>
      <c r="L149" s="117">
        <f>ROUND(VLOOKUP(A149,'VNA e PRT'!B:G,3,FALSE),2)</f>
        <v>0.94</v>
      </c>
      <c r="M149" s="113">
        <f t="shared" si="48"/>
        <v>1.00040545497841</v>
      </c>
      <c r="N149" s="113">
        <f t="shared" si="49"/>
        <v>0.99999622196731208</v>
      </c>
      <c r="O149" s="70">
        <f t="shared" si="50"/>
        <v>148814.29146267602</v>
      </c>
      <c r="P149" s="70">
        <f t="shared" si="52"/>
        <v>145946.75829101817</v>
      </c>
      <c r="Q149" s="70">
        <f t="shared" si="53"/>
        <v>151681.82463433419</v>
      </c>
      <c r="S149" s="57">
        <v>6</v>
      </c>
      <c r="T149" s="57">
        <v>10.65</v>
      </c>
      <c r="AA149" s="197"/>
    </row>
    <row r="150" spans="1:27" ht="15" x14ac:dyDescent="0.3">
      <c r="A150" s="60">
        <v>44637</v>
      </c>
      <c r="B150" s="60">
        <v>44788</v>
      </c>
      <c r="C150" s="54">
        <f t="shared" si="45"/>
        <v>97749.64</v>
      </c>
      <c r="D150" s="54">
        <f t="shared" si="46"/>
        <v>97578.35</v>
      </c>
      <c r="E150" s="54">
        <f t="shared" si="47"/>
        <v>97577.840503520798</v>
      </c>
      <c r="F150" s="115">
        <f t="shared" si="44"/>
        <v>267.16000000000003</v>
      </c>
      <c r="G150" s="51">
        <f>NETWORKDAYS(A150,B150-1,Feriados!$A$2:$A$2000)</f>
        <v>104</v>
      </c>
      <c r="H150" s="121">
        <v>5.67</v>
      </c>
      <c r="I150" s="57">
        <v>10.65</v>
      </c>
      <c r="J150" s="53">
        <f t="shared" si="51"/>
        <v>1.0004016754139</v>
      </c>
      <c r="K150" s="117">
        <f>ROUND(VLOOKUP(A150,'VNA e PRT'!B:G,6,FALSE),2)</f>
        <v>6220.29</v>
      </c>
      <c r="L150" s="117">
        <f>ROUND(VLOOKUP(A150,'VNA e PRT'!B:G,3,FALSE),2)</f>
        <v>0.94</v>
      </c>
      <c r="M150" s="113">
        <f t="shared" si="48"/>
        <v>1.0004068989475301</v>
      </c>
      <c r="N150" s="113">
        <f t="shared" si="49"/>
        <v>0.99999477859095576</v>
      </c>
      <c r="O150" s="70">
        <f t="shared" si="50"/>
        <v>148874.06650479353</v>
      </c>
      <c r="P150" s="70">
        <f t="shared" si="52"/>
        <v>145738.22151556207</v>
      </c>
      <c r="Q150" s="70">
        <f t="shared" si="53"/>
        <v>152009.91149402529</v>
      </c>
      <c r="S150" s="57">
        <v>6.06</v>
      </c>
      <c r="T150" s="57">
        <v>10.65</v>
      </c>
      <c r="AA150" s="197"/>
    </row>
    <row r="151" spans="1:27" ht="15" x14ac:dyDescent="0.3">
      <c r="A151" s="60">
        <v>44638</v>
      </c>
      <c r="B151" s="60">
        <v>44788</v>
      </c>
      <c r="C151" s="54">
        <f t="shared" si="45"/>
        <v>97839.19</v>
      </c>
      <c r="D151" s="54">
        <f t="shared" si="46"/>
        <v>97749.64</v>
      </c>
      <c r="E151" s="54">
        <f t="shared" si="47"/>
        <v>97752.47859820741</v>
      </c>
      <c r="F151" s="115">
        <f t="shared" si="44"/>
        <v>134.88999999999999</v>
      </c>
      <c r="G151" s="51">
        <f>NETWORKDAYS(A151,B151-1,Feriados!$A$2:$A$2000)</f>
        <v>103</v>
      </c>
      <c r="H151" s="121">
        <v>5.49</v>
      </c>
      <c r="I151" s="57">
        <v>11.65</v>
      </c>
      <c r="J151" s="53">
        <f t="shared" si="51"/>
        <v>1.0004373924230201</v>
      </c>
      <c r="K151" s="117">
        <f>ROUND(VLOOKUP(A151,'VNA e PRT'!B:G,6,FALSE),2)</f>
        <v>6222.83</v>
      </c>
      <c r="L151" s="117">
        <f>ROUND(VLOOKUP(A151,'VNA e PRT'!B:G,3,FALSE),2)</f>
        <v>0.94</v>
      </c>
      <c r="M151" s="113">
        <f t="shared" si="48"/>
        <v>1.00040834109021</v>
      </c>
      <c r="N151" s="113">
        <f t="shared" si="49"/>
        <v>1.0000290394747993</v>
      </c>
      <c r="O151" s="70">
        <f t="shared" si="50"/>
        <v>148933.86555707583</v>
      </c>
      <c r="P151" s="70">
        <f t="shared" si="52"/>
        <v>145661.87097601037</v>
      </c>
      <c r="Q151" s="70">
        <f t="shared" si="53"/>
        <v>152205.86013814158</v>
      </c>
      <c r="S151" s="57">
        <v>5.67</v>
      </c>
      <c r="T151" s="57">
        <v>11.65</v>
      </c>
      <c r="AA151" s="197"/>
    </row>
    <row r="152" spans="1:27" ht="15" x14ac:dyDescent="0.3">
      <c r="A152" s="60">
        <v>44641</v>
      </c>
      <c r="B152" s="60">
        <v>44788</v>
      </c>
      <c r="C152" s="54">
        <f t="shared" si="45"/>
        <v>98112.65</v>
      </c>
      <c r="D152" s="54">
        <f t="shared" si="46"/>
        <v>97839.19</v>
      </c>
      <c r="E152" s="54">
        <f t="shared" si="47"/>
        <v>97842.204666690406</v>
      </c>
      <c r="F152" s="115">
        <f t="shared" si="44"/>
        <v>420.9</v>
      </c>
      <c r="G152" s="51">
        <f>NETWORKDAYS(A152,B152-1,Feriados!$A$2:$A$2000)</f>
        <v>102</v>
      </c>
      <c r="H152" s="121">
        <v>4.82</v>
      </c>
      <c r="I152" s="57">
        <v>11.65</v>
      </c>
      <c r="J152" s="53">
        <f t="shared" si="51"/>
        <v>1.0004373924230201</v>
      </c>
      <c r="K152" s="117">
        <f>ROUND(VLOOKUP(A152,'VNA e PRT'!B:G,6,FALSE),2)</f>
        <v>6225.36</v>
      </c>
      <c r="L152" s="117">
        <f>ROUND(VLOOKUP(A152,'VNA e PRT'!B:G,3,FALSE),2)</f>
        <v>0.94</v>
      </c>
      <c r="M152" s="113">
        <f t="shared" si="48"/>
        <v>1.0004065674299301</v>
      </c>
      <c r="N152" s="113">
        <f t="shared" si="49"/>
        <v>1.0000308124657451</v>
      </c>
      <c r="O152" s="70">
        <f t="shared" si="50"/>
        <v>148999.00810140159</v>
      </c>
      <c r="P152" s="70">
        <f t="shared" si="52"/>
        <v>145304.6823746982</v>
      </c>
      <c r="Q152" s="70">
        <f t="shared" si="53"/>
        <v>152693.33382810524</v>
      </c>
      <c r="S152" s="57">
        <v>5.49</v>
      </c>
      <c r="T152" s="57">
        <v>11.65</v>
      </c>
      <c r="AA152" s="197"/>
    </row>
    <row r="153" spans="1:27" ht="15" x14ac:dyDescent="0.3">
      <c r="A153" s="60">
        <v>44642</v>
      </c>
      <c r="B153" s="60">
        <v>44788</v>
      </c>
      <c r="C153" s="54">
        <f t="shared" si="45"/>
        <v>98202.36</v>
      </c>
      <c r="D153" s="54">
        <f t="shared" si="46"/>
        <v>98112.65</v>
      </c>
      <c r="E153" s="54">
        <f t="shared" si="47"/>
        <v>98115.689297724355</v>
      </c>
      <c r="F153" s="115">
        <f t="shared" si="44"/>
        <v>134.94</v>
      </c>
      <c r="G153" s="51">
        <f>NETWORKDAYS(A153,B153-1,Feriados!$A$2:$A$2000)</f>
        <v>101</v>
      </c>
      <c r="H153" s="121">
        <v>4.63</v>
      </c>
      <c r="I153" s="57">
        <v>11.65</v>
      </c>
      <c r="J153" s="53">
        <f t="shared" si="51"/>
        <v>1.0004373924230201</v>
      </c>
      <c r="K153" s="117">
        <f>ROUND(VLOOKUP(A153,'VNA e PRT'!B:G,6,FALSE),2)</f>
        <v>6227.89</v>
      </c>
      <c r="L153" s="117">
        <f>ROUND(VLOOKUP(A153,'VNA e PRT'!B:G,3,FALSE),2)</f>
        <v>0.94</v>
      </c>
      <c r="M153" s="113">
        <f t="shared" si="48"/>
        <v>1.0004064022000301</v>
      </c>
      <c r="N153" s="113">
        <f t="shared" si="49"/>
        <v>1.0000309776336116</v>
      </c>
      <c r="O153" s="70">
        <f t="shared" si="50"/>
        <v>149064.17913858267</v>
      </c>
      <c r="P153" s="70">
        <f t="shared" si="52"/>
        <v>145233.29754179824</v>
      </c>
      <c r="Q153" s="70">
        <f t="shared" si="53"/>
        <v>152895.06073536733</v>
      </c>
      <c r="S153" s="57">
        <v>4.82</v>
      </c>
      <c r="T153" s="57">
        <v>11.65</v>
      </c>
      <c r="AA153" s="197"/>
    </row>
    <row r="154" spans="1:27" ht="15" x14ac:dyDescent="0.3">
      <c r="A154" s="60">
        <v>44643</v>
      </c>
      <c r="B154" s="60">
        <v>44788</v>
      </c>
      <c r="C154" s="54">
        <f t="shared" si="45"/>
        <v>98298.33</v>
      </c>
      <c r="D154" s="54">
        <f t="shared" si="46"/>
        <v>98202.36</v>
      </c>
      <c r="E154" s="54">
        <f t="shared" si="47"/>
        <v>98205.418283428808</v>
      </c>
      <c r="F154" s="115">
        <f t="shared" si="44"/>
        <v>144.71</v>
      </c>
      <c r="G154" s="51">
        <f>NETWORKDAYS(A154,B154-1,Feriados!$A$2:$A$2000)</f>
        <v>100</v>
      </c>
      <c r="H154" s="121">
        <v>4.42</v>
      </c>
      <c r="I154" s="57">
        <v>11.65</v>
      </c>
      <c r="J154" s="53">
        <f t="shared" si="51"/>
        <v>1.0004373924230201</v>
      </c>
      <c r="K154" s="117">
        <f>ROUND(VLOOKUP(A154,'VNA e PRT'!B:G,6,FALSE),2)</f>
        <v>6230.42</v>
      </c>
      <c r="L154" s="117">
        <f>ROUND(VLOOKUP(A154,'VNA e PRT'!B:G,3,FALSE),2)</f>
        <v>0.94</v>
      </c>
      <c r="M154" s="113">
        <f t="shared" si="48"/>
        <v>1.00040623710438</v>
      </c>
      <c r="N154" s="113">
        <f t="shared" si="49"/>
        <v>1.0000311426673332</v>
      </c>
      <c r="O154" s="70">
        <f t="shared" si="50"/>
        <v>149129.37868108158</v>
      </c>
      <c r="P154" s="70">
        <f t="shared" si="52"/>
        <v>145152.11148571325</v>
      </c>
      <c r="Q154" s="70">
        <f t="shared" si="53"/>
        <v>153106.64587645017</v>
      </c>
      <c r="S154" s="57">
        <v>4.63</v>
      </c>
      <c r="T154" s="57">
        <v>11.65</v>
      </c>
      <c r="AA154" s="197"/>
    </row>
    <row r="155" spans="1:27" ht="15" x14ac:dyDescent="0.3">
      <c r="A155" s="60">
        <v>44644</v>
      </c>
      <c r="B155" s="60">
        <v>44788</v>
      </c>
      <c r="C155" s="54">
        <f t="shared" si="45"/>
        <v>98370.74</v>
      </c>
      <c r="D155" s="54">
        <f t="shared" si="46"/>
        <v>98298.33</v>
      </c>
      <c r="E155" s="54">
        <f t="shared" si="47"/>
        <v>98301.24976932189</v>
      </c>
      <c r="F155" s="115">
        <f t="shared" si="44"/>
        <v>108.28</v>
      </c>
      <c r="G155" s="51">
        <f>NETWORKDAYS(A155,B155-1,Feriados!$A$2:$A$2000)</f>
        <v>99</v>
      </c>
      <c r="H155" s="121">
        <v>4.2699999999999996</v>
      </c>
      <c r="I155" s="57">
        <v>11.65</v>
      </c>
      <c r="J155" s="53">
        <f t="shared" si="51"/>
        <v>1.0004373924230201</v>
      </c>
      <c r="K155" s="117">
        <f>ROUND(VLOOKUP(A155,'VNA e PRT'!B:G,6,FALSE),2)</f>
        <v>6232.96</v>
      </c>
      <c r="L155" s="117">
        <f>ROUND(VLOOKUP(A155,'VNA e PRT'!B:G,3,FALSE),2)</f>
        <v>0.94</v>
      </c>
      <c r="M155" s="113">
        <f t="shared" si="48"/>
        <v>1.00040767717104</v>
      </c>
      <c r="N155" s="113">
        <f t="shared" si="49"/>
        <v>1.000029703142687</v>
      </c>
      <c r="O155" s="70">
        <f t="shared" si="50"/>
        <v>149194.60674136638</v>
      </c>
      <c r="P155" s="70">
        <f t="shared" si="52"/>
        <v>145107.31991946246</v>
      </c>
      <c r="Q155" s="70">
        <f t="shared" si="53"/>
        <v>153281.89356327054</v>
      </c>
      <c r="S155" s="57">
        <v>4.42</v>
      </c>
      <c r="T155" s="57">
        <v>11.65</v>
      </c>
      <c r="AA155" s="197"/>
    </row>
    <row r="156" spans="1:27" ht="15" x14ac:dyDescent="0.3">
      <c r="A156" s="60">
        <v>44645</v>
      </c>
      <c r="B156" s="60">
        <v>44788</v>
      </c>
      <c r="C156" s="54">
        <f t="shared" si="45"/>
        <v>98501.06</v>
      </c>
      <c r="D156" s="54">
        <f t="shared" si="46"/>
        <v>98370.74</v>
      </c>
      <c r="E156" s="54">
        <f t="shared" si="47"/>
        <v>98373.836020725736</v>
      </c>
      <c r="F156" s="115">
        <f t="shared" si="44"/>
        <v>198.32</v>
      </c>
      <c r="G156" s="51">
        <f>NETWORKDAYS(A156,B156-1,Feriados!$A$2:$A$2000)</f>
        <v>98</v>
      </c>
      <c r="H156" s="121">
        <v>3.96</v>
      </c>
      <c r="I156" s="57">
        <v>11.65</v>
      </c>
      <c r="J156" s="53">
        <f t="shared" si="51"/>
        <v>1.0004373924230201</v>
      </c>
      <c r="K156" s="117">
        <f>ROUND(VLOOKUP(A156,'VNA e PRT'!B:G,6,FALSE),2)</f>
        <v>6235.49</v>
      </c>
      <c r="L156" s="117">
        <f>ROUND(VLOOKUP(A156,'VNA e PRT'!B:G,3,FALSE),2)</f>
        <v>0.94</v>
      </c>
      <c r="M156" s="113">
        <f t="shared" si="48"/>
        <v>1.0004059066639299</v>
      </c>
      <c r="N156" s="113">
        <f t="shared" si="49"/>
        <v>1.0000314729839963</v>
      </c>
      <c r="O156" s="70">
        <f t="shared" si="50"/>
        <v>149259.86333191051</v>
      </c>
      <c r="P156" s="70">
        <f t="shared" si="52"/>
        <v>144972.46876171997</v>
      </c>
      <c r="Q156" s="70">
        <f t="shared" si="53"/>
        <v>153547.25790210129</v>
      </c>
      <c r="S156" s="57">
        <v>4.2699999999999996</v>
      </c>
      <c r="T156" s="57">
        <v>11.65</v>
      </c>
      <c r="AA156" s="197"/>
    </row>
    <row r="157" spans="1:27" ht="15" x14ac:dyDescent="0.3">
      <c r="A157" s="60">
        <v>44648</v>
      </c>
      <c r="B157" s="60">
        <v>44788</v>
      </c>
      <c r="C157" s="54">
        <f t="shared" si="45"/>
        <v>98247.64</v>
      </c>
      <c r="D157" s="54">
        <f t="shared" si="46"/>
        <v>98501.06</v>
      </c>
      <c r="E157" s="54">
        <f t="shared" si="47"/>
        <v>98374.388166381148</v>
      </c>
      <c r="F157" s="115">
        <f t="shared" si="44"/>
        <v>-197.92</v>
      </c>
      <c r="G157" s="51">
        <f>NETWORKDAYS(A157,B157-1,Feriados!$A$2:$A$2000)</f>
        <v>97</v>
      </c>
      <c r="H157" s="121">
        <v>4.7</v>
      </c>
      <c r="I157" s="57">
        <v>11.65</v>
      </c>
      <c r="J157" s="53">
        <f t="shared" si="51"/>
        <v>1.0004373924230201</v>
      </c>
      <c r="K157" s="117">
        <f>ROUND(VLOOKUP(A157,'VNA e PRT'!B:G,6,FALSE),2)</f>
        <v>6246.25</v>
      </c>
      <c r="L157" s="117">
        <f>ROUND(VLOOKUP(A157,'VNA e PRT'!B:G,3,FALSE),2)</f>
        <v>1.28</v>
      </c>
      <c r="M157" s="113">
        <f t="shared" si="48"/>
        <v>1.0017256061672799</v>
      </c>
      <c r="N157" s="113">
        <f t="shared" si="49"/>
        <v>0.99871400537599442</v>
      </c>
      <c r="O157" s="70">
        <f t="shared" si="50"/>
        <v>149325.14846519291</v>
      </c>
      <c r="P157" s="70">
        <f t="shared" si="52"/>
        <v>145233.79862110288</v>
      </c>
      <c r="Q157" s="70">
        <f t="shared" si="53"/>
        <v>153416.49830928317</v>
      </c>
      <c r="S157" s="57">
        <v>3.96</v>
      </c>
      <c r="T157" s="57">
        <v>11.65</v>
      </c>
      <c r="AA157" s="197"/>
    </row>
    <row r="158" spans="1:27" ht="15" x14ac:dyDescent="0.3">
      <c r="A158" s="60">
        <v>44649</v>
      </c>
      <c r="B158" s="60">
        <v>44788</v>
      </c>
      <c r="C158" s="54">
        <f t="shared" si="45"/>
        <v>98169.18</v>
      </c>
      <c r="D158" s="54">
        <f t="shared" si="46"/>
        <v>98247.64</v>
      </c>
      <c r="E158" s="54">
        <f t="shared" si="47"/>
        <v>98236.353750631577</v>
      </c>
      <c r="F158" s="115">
        <f t="shared" si="44"/>
        <v>-104.95</v>
      </c>
      <c r="G158" s="51">
        <f>NETWORKDAYS(A158,B158-1,Feriados!$A$2:$A$2000)</f>
        <v>96</v>
      </c>
      <c r="H158" s="121">
        <v>4.97</v>
      </c>
      <c r="I158" s="57">
        <v>11.65</v>
      </c>
      <c r="J158" s="53">
        <f t="shared" si="51"/>
        <v>1.0004373924230201</v>
      </c>
      <c r="K158" s="117">
        <f>ROUND(VLOOKUP(A158,'VNA e PRT'!B:G,6,FALSE),2)</f>
        <v>6249.7</v>
      </c>
      <c r="L158" s="117">
        <f>ROUND(VLOOKUP(A158,'VNA e PRT'!B:G,3,FALSE),2)</f>
        <v>1.28</v>
      </c>
      <c r="M158" s="113">
        <f t="shared" si="48"/>
        <v>1.00055233139884</v>
      </c>
      <c r="N158" s="113">
        <f t="shared" si="49"/>
        <v>0.99988512447354028</v>
      </c>
      <c r="O158" s="70">
        <f t="shared" si="50"/>
        <v>149390.46215369794</v>
      </c>
      <c r="P158" s="70">
        <f t="shared" si="52"/>
        <v>145402.27278418618</v>
      </c>
      <c r="Q158" s="70">
        <f t="shared" si="53"/>
        <v>153378.6515232099</v>
      </c>
      <c r="S158" s="57">
        <v>4.7</v>
      </c>
      <c r="T158" s="57">
        <v>11.65</v>
      </c>
      <c r="AA158" s="197"/>
    </row>
    <row r="159" spans="1:27" ht="15" x14ac:dyDescent="0.3">
      <c r="A159" s="60">
        <v>44650</v>
      </c>
      <c r="B159" s="60">
        <v>44788</v>
      </c>
      <c r="C159" s="54">
        <f t="shared" si="45"/>
        <v>98135.23</v>
      </c>
      <c r="D159" s="54">
        <f t="shared" si="46"/>
        <v>98169.18</v>
      </c>
      <c r="E159" s="54">
        <f t="shared" si="47"/>
        <v>98157.775702424653</v>
      </c>
      <c r="F159" s="115">
        <f t="shared" si="44"/>
        <v>-35.24</v>
      </c>
      <c r="G159" s="51">
        <f>NETWORKDAYS(A159,B159-1,Feriados!$A$2:$A$2000)</f>
        <v>95</v>
      </c>
      <c r="H159" s="121">
        <v>5.12</v>
      </c>
      <c r="I159" s="57">
        <v>11.65</v>
      </c>
      <c r="J159" s="53">
        <f t="shared" si="51"/>
        <v>1.0004373924230201</v>
      </c>
      <c r="K159" s="117">
        <f>ROUND(VLOOKUP(A159,'VNA e PRT'!B:G,6,FALSE),2)</f>
        <v>6253.16</v>
      </c>
      <c r="L159" s="117">
        <f>ROUND(VLOOKUP(A159,'VNA e PRT'!B:G,3,FALSE),2)</f>
        <v>1.28</v>
      </c>
      <c r="M159" s="113">
        <f t="shared" si="48"/>
        <v>1.00055362657408</v>
      </c>
      <c r="N159" s="113">
        <f t="shared" si="49"/>
        <v>0.99988383016364868</v>
      </c>
      <c r="O159" s="70">
        <f t="shared" si="50"/>
        <v>149455.80440991544</v>
      </c>
      <c r="P159" s="70">
        <f t="shared" si="52"/>
        <v>145501.11063659188</v>
      </c>
      <c r="Q159" s="70">
        <f t="shared" si="53"/>
        <v>153410.49818323919</v>
      </c>
      <c r="S159" s="57">
        <v>4.97</v>
      </c>
      <c r="T159" s="57">
        <v>11.65</v>
      </c>
      <c r="AA159" s="197"/>
    </row>
    <row r="160" spans="1:27" ht="15" x14ac:dyDescent="0.3">
      <c r="A160" s="60">
        <v>44651</v>
      </c>
      <c r="B160" s="60">
        <v>44788</v>
      </c>
      <c r="C160" s="54">
        <f t="shared" si="45"/>
        <v>98022.66</v>
      </c>
      <c r="D160" s="54">
        <f t="shared" si="46"/>
        <v>98135.23</v>
      </c>
      <c r="E160" s="54">
        <f t="shared" si="47"/>
        <v>98123.859688314289</v>
      </c>
      <c r="F160" s="115">
        <f t="shared" si="44"/>
        <v>-158.29</v>
      </c>
      <c r="G160" s="51">
        <f>NETWORKDAYS(A160,B160-1,Feriados!$A$2:$A$2000)</f>
        <v>94</v>
      </c>
      <c r="H160" s="121">
        <v>5.5</v>
      </c>
      <c r="I160" s="57">
        <v>11.65</v>
      </c>
      <c r="J160" s="53">
        <f t="shared" si="51"/>
        <v>1.0004373924230201</v>
      </c>
      <c r="K160" s="117">
        <f>ROUND(VLOOKUP(A160,'VNA e PRT'!B:G,6,FALSE),2)</f>
        <v>6256.62</v>
      </c>
      <c r="L160" s="117">
        <f>ROUND(VLOOKUP(A160,'VNA e PRT'!B:G,3,FALSE),2)</f>
        <v>1.28</v>
      </c>
      <c r="M160" s="113">
        <f t="shared" si="48"/>
        <v>1.00055332024129</v>
      </c>
      <c r="N160" s="113">
        <f t="shared" si="49"/>
        <v>0.99988413629146533</v>
      </c>
      <c r="O160" s="70">
        <f t="shared" si="50"/>
        <v>149521.17524634072</v>
      </c>
      <c r="P160" s="70">
        <f t="shared" si="52"/>
        <v>145723.04171992536</v>
      </c>
      <c r="Q160" s="70">
        <f t="shared" si="53"/>
        <v>153319.30877275628</v>
      </c>
      <c r="S160" s="57">
        <v>5.12</v>
      </c>
      <c r="T160" s="57">
        <v>11.65</v>
      </c>
      <c r="AA160" s="197"/>
    </row>
    <row r="161" spans="1:27" ht="15" x14ac:dyDescent="0.3">
      <c r="A161" s="60">
        <v>44652</v>
      </c>
      <c r="B161" s="60">
        <v>44788</v>
      </c>
      <c r="C161" s="54">
        <f t="shared" si="45"/>
        <v>98077.8</v>
      </c>
      <c r="D161" s="54">
        <f t="shared" si="46"/>
        <v>98022.66</v>
      </c>
      <c r="E161" s="54">
        <f t="shared" si="47"/>
        <v>98011.332705384368</v>
      </c>
      <c r="F161" s="115">
        <f t="shared" si="44"/>
        <v>104.02</v>
      </c>
      <c r="G161" s="51">
        <f>NETWORKDAYS(A161,B161-1,Feriados!$A$2:$A$2000)</f>
        <v>93</v>
      </c>
      <c r="H161" s="121">
        <v>5.4</v>
      </c>
      <c r="I161" s="57">
        <v>11.65</v>
      </c>
      <c r="J161" s="53">
        <f t="shared" si="51"/>
        <v>1.0004373924230201</v>
      </c>
      <c r="K161" s="117">
        <f>ROUND(VLOOKUP(A161,'VNA e PRT'!B:G,6,FALSE),2)</f>
        <v>6260.08</v>
      </c>
      <c r="L161" s="117">
        <f>ROUND(VLOOKUP(A161,'VNA e PRT'!B:G,3,FALSE),2)</f>
        <v>1.28</v>
      </c>
      <c r="M161" s="113">
        <f t="shared" si="48"/>
        <v>1.00055301424731</v>
      </c>
      <c r="N161" s="113">
        <f t="shared" si="49"/>
        <v>0.99988444208088578</v>
      </c>
      <c r="O161" s="70">
        <f t="shared" si="50"/>
        <v>149586.57467547452</v>
      </c>
      <c r="P161" s="70">
        <f t="shared" si="52"/>
        <v>145682.7598742331</v>
      </c>
      <c r="Q161" s="70">
        <f t="shared" si="53"/>
        <v>153490.38947671614</v>
      </c>
      <c r="S161" s="57">
        <v>5.5</v>
      </c>
      <c r="T161" s="57">
        <v>11.65</v>
      </c>
      <c r="AA161" s="197"/>
    </row>
    <row r="162" spans="1:27" ht="15" x14ac:dyDescent="0.3">
      <c r="A162" s="60">
        <v>44655</v>
      </c>
      <c r="B162" s="60">
        <v>44788</v>
      </c>
      <c r="C162" s="54">
        <f t="shared" si="45"/>
        <v>98074.5</v>
      </c>
      <c r="D162" s="54">
        <f t="shared" si="46"/>
        <v>98077.8</v>
      </c>
      <c r="E162" s="54">
        <f t="shared" si="47"/>
        <v>98066.49629154001</v>
      </c>
      <c r="F162" s="115">
        <f t="shared" si="44"/>
        <v>12.53</v>
      </c>
      <c r="G162" s="51">
        <f>NETWORKDAYS(A162,B162-1,Feriados!$A$2:$A$2000)</f>
        <v>92</v>
      </c>
      <c r="H162" s="121">
        <v>5.47</v>
      </c>
      <c r="I162" s="57">
        <v>11.65</v>
      </c>
      <c r="J162" s="53">
        <f t="shared" si="51"/>
        <v>1.0004373924230201</v>
      </c>
      <c r="K162" s="117">
        <f>ROUND(VLOOKUP(A162,'VNA e PRT'!B:G,6,FALSE),2)</f>
        <v>6263.54</v>
      </c>
      <c r="L162" s="117">
        <f>ROUND(VLOOKUP(A162,'VNA e PRT'!B:G,3,FALSE),2)</f>
        <v>1.28</v>
      </c>
      <c r="M162" s="113">
        <f t="shared" si="48"/>
        <v>1.00055270859158</v>
      </c>
      <c r="N162" s="113">
        <f t="shared" si="49"/>
        <v>0.99988474753246914</v>
      </c>
      <c r="O162" s="70">
        <f t="shared" si="50"/>
        <v>149652.00270982311</v>
      </c>
      <c r="P162" s="70">
        <f t="shared" si="52"/>
        <v>145733.95040956675</v>
      </c>
      <c r="Q162" s="70">
        <f t="shared" si="53"/>
        <v>153570.05501007967</v>
      </c>
      <c r="S162" s="57">
        <v>5.4</v>
      </c>
      <c r="T162" s="57">
        <v>11.65</v>
      </c>
      <c r="AA162" s="197"/>
    </row>
    <row r="163" spans="1:27" ht="15" x14ac:dyDescent="0.3">
      <c r="A163" s="60">
        <v>44656</v>
      </c>
      <c r="B163" s="60">
        <v>44788</v>
      </c>
      <c r="C163" s="54">
        <f t="shared" si="45"/>
        <v>98118.75</v>
      </c>
      <c r="D163" s="54">
        <f t="shared" si="46"/>
        <v>98074.5</v>
      </c>
      <c r="E163" s="54">
        <f t="shared" si="47"/>
        <v>98063.226595805085</v>
      </c>
      <c r="F163" s="115">
        <f t="shared" si="44"/>
        <v>86.99</v>
      </c>
      <c r="G163" s="51">
        <f>NETWORKDAYS(A163,B163-1,Feriados!$A$2:$A$2000)</f>
        <v>91</v>
      </c>
      <c r="H163" s="121">
        <v>5.4</v>
      </c>
      <c r="I163" s="57">
        <v>11.65</v>
      </c>
      <c r="J163" s="53">
        <f t="shared" si="51"/>
        <v>1.0004373924230201</v>
      </c>
      <c r="K163" s="117">
        <f>ROUND(VLOOKUP(A163,'VNA e PRT'!B:G,6,FALSE),2)</f>
        <v>6267</v>
      </c>
      <c r="L163" s="117">
        <f>ROUND(VLOOKUP(A163,'VNA e PRT'!B:G,3,FALSE),2)</f>
        <v>1.28</v>
      </c>
      <c r="M163" s="113">
        <f t="shared" si="48"/>
        <v>1.00055240327355</v>
      </c>
      <c r="N163" s="113">
        <f t="shared" si="49"/>
        <v>0.99988505264676431</v>
      </c>
      <c r="O163" s="70">
        <f t="shared" si="50"/>
        <v>149717.45936189816</v>
      </c>
      <c r="P163" s="70">
        <f t="shared" si="52"/>
        <v>145710.70333525268</v>
      </c>
      <c r="Q163" s="70">
        <f t="shared" si="53"/>
        <v>153724.21538854385</v>
      </c>
      <c r="S163" s="57">
        <v>5.47</v>
      </c>
      <c r="T163" s="57">
        <v>11.65</v>
      </c>
      <c r="AA163" s="197"/>
    </row>
    <row r="164" spans="1:27" ht="15" x14ac:dyDescent="0.3">
      <c r="A164" s="60">
        <v>44657</v>
      </c>
      <c r="B164" s="60">
        <v>44788</v>
      </c>
      <c r="C164" s="54">
        <f t="shared" si="45"/>
        <v>98189.16</v>
      </c>
      <c r="D164" s="54">
        <f t="shared" si="46"/>
        <v>98118.75</v>
      </c>
      <c r="E164" s="54">
        <f t="shared" si="47"/>
        <v>98107.344954214132</v>
      </c>
      <c r="F164" s="115">
        <f t="shared" si="44"/>
        <v>128.25</v>
      </c>
      <c r="G164" s="51">
        <f>NETWORKDAYS(A164,B164-1,Feriados!$A$2:$A$2000)</f>
        <v>90</v>
      </c>
      <c r="H164" s="121">
        <v>5.25</v>
      </c>
      <c r="I164" s="57">
        <v>11.65</v>
      </c>
      <c r="J164" s="53">
        <f t="shared" si="51"/>
        <v>1.0004373924230201</v>
      </c>
      <c r="K164" s="117">
        <f>ROUND(VLOOKUP(A164,'VNA e PRT'!B:G,6,FALSE),2)</f>
        <v>6270.47</v>
      </c>
      <c r="L164" s="117">
        <f>ROUND(VLOOKUP(A164,'VNA e PRT'!B:G,3,FALSE),2)</f>
        <v>1.28</v>
      </c>
      <c r="M164" s="113">
        <f t="shared" si="48"/>
        <v>1.00055369395245</v>
      </c>
      <c r="N164" s="113">
        <f t="shared" si="49"/>
        <v>0.99988376283038805</v>
      </c>
      <c r="O164" s="70">
        <f t="shared" si="50"/>
        <v>149782.94464421688</v>
      </c>
      <c r="P164" s="70">
        <f t="shared" si="52"/>
        <v>145646.18609284444</v>
      </c>
      <c r="Q164" s="70">
        <f t="shared" si="53"/>
        <v>153919.70319558951</v>
      </c>
      <c r="S164" s="57">
        <v>5.4</v>
      </c>
      <c r="T164" s="57">
        <v>11.65</v>
      </c>
      <c r="AA164" s="197"/>
    </row>
    <row r="165" spans="1:27" ht="15" x14ac:dyDescent="0.3">
      <c r="A165" s="60">
        <v>44658</v>
      </c>
      <c r="B165" s="60">
        <v>44788</v>
      </c>
      <c r="C165" s="54">
        <f t="shared" si="45"/>
        <v>98275.09</v>
      </c>
      <c r="D165" s="54">
        <f t="shared" si="46"/>
        <v>98189.16</v>
      </c>
      <c r="E165" s="54">
        <f t="shared" si="47"/>
        <v>98177.776835699246</v>
      </c>
      <c r="F165" s="115">
        <f t="shared" si="44"/>
        <v>152.63</v>
      </c>
      <c r="G165" s="51">
        <f>NETWORKDAYS(A165,B165-1,Feriados!$A$2:$A$2000)</f>
        <v>89</v>
      </c>
      <c r="H165" s="121">
        <v>5.05</v>
      </c>
      <c r="I165" s="57">
        <v>11.65</v>
      </c>
      <c r="J165" s="53">
        <f t="shared" si="51"/>
        <v>1.0004373924230201</v>
      </c>
      <c r="K165" s="117">
        <f>ROUND(VLOOKUP(A165,'VNA e PRT'!B:G,6,FALSE),2)</f>
        <v>6273.94</v>
      </c>
      <c r="L165" s="117">
        <f>ROUND(VLOOKUP(A165,'VNA e PRT'!B:G,3,FALSE),2)</f>
        <v>1.28</v>
      </c>
      <c r="M165" s="113">
        <f t="shared" si="48"/>
        <v>1.00055338754511</v>
      </c>
      <c r="N165" s="113">
        <f t="shared" si="49"/>
        <v>0.99988406903266347</v>
      </c>
      <c r="O165" s="70">
        <f t="shared" si="50"/>
        <v>149848.4585693019</v>
      </c>
      <c r="P165" s="70">
        <f t="shared" si="52"/>
        <v>145557.26063108322</v>
      </c>
      <c r="Q165" s="70">
        <f t="shared" si="53"/>
        <v>154139.65650752076</v>
      </c>
      <c r="S165" s="57">
        <v>5.25</v>
      </c>
      <c r="T165" s="57">
        <v>11.65</v>
      </c>
      <c r="AA165" s="197"/>
    </row>
    <row r="166" spans="1:27" ht="15" x14ac:dyDescent="0.3">
      <c r="A166" s="60">
        <v>44659</v>
      </c>
      <c r="B166" s="60">
        <v>44788</v>
      </c>
      <c r="C166" s="54">
        <f t="shared" si="45"/>
        <v>98212.75</v>
      </c>
      <c r="D166" s="54">
        <f t="shared" si="46"/>
        <v>98275.09</v>
      </c>
      <c r="E166" s="54">
        <f t="shared" si="47"/>
        <v>98006.276249001035</v>
      </c>
      <c r="F166" s="115">
        <f t="shared" si="44"/>
        <v>324.88</v>
      </c>
      <c r="G166" s="51">
        <f>NETWORKDAYS(A166,B166-1,Feriados!$A$2:$A$2000)</f>
        <v>88</v>
      </c>
      <c r="H166" s="121">
        <v>5.3</v>
      </c>
      <c r="I166" s="57">
        <v>11.65</v>
      </c>
      <c r="J166" s="53">
        <f t="shared" si="51"/>
        <v>1.0004373924230201</v>
      </c>
      <c r="K166" s="117">
        <f>ROUND(VLOOKUP(A166,'VNA e PRT'!B:G,6,FALSE),2)</f>
        <v>6293.9</v>
      </c>
      <c r="L166" s="117">
        <f>ROUND(VLOOKUP(A166,'VNA e PRT'!B:G,3,FALSE),2)</f>
        <v>1.62</v>
      </c>
      <c r="M166" s="113">
        <f t="shared" si="48"/>
        <v>1.00318141391215</v>
      </c>
      <c r="N166" s="113">
        <f t="shared" si="49"/>
        <v>0.99726468069376517</v>
      </c>
      <c r="O166" s="70">
        <f t="shared" si="50"/>
        <v>149914.00114968137</v>
      </c>
      <c r="P166" s="70">
        <f t="shared" si="52"/>
        <v>145296.0462739988</v>
      </c>
      <c r="Q166" s="70">
        <f t="shared" si="53"/>
        <v>154531.95602536408</v>
      </c>
      <c r="S166" s="57">
        <v>5.05</v>
      </c>
      <c r="T166" s="57">
        <v>11.65</v>
      </c>
      <c r="AA166" s="197"/>
    </row>
    <row r="167" spans="1:27" ht="15" x14ac:dyDescent="0.3">
      <c r="A167" s="60">
        <v>44662</v>
      </c>
      <c r="B167" s="60">
        <v>44788</v>
      </c>
      <c r="C167" s="54">
        <f t="shared" si="45"/>
        <v>98104.38</v>
      </c>
      <c r="D167" s="54">
        <f t="shared" si="46"/>
        <v>98212.75</v>
      </c>
      <c r="E167" s="54">
        <f t="shared" si="47"/>
        <v>98187.065956550621</v>
      </c>
      <c r="F167" s="115">
        <f t="shared" si="44"/>
        <v>-130.19</v>
      </c>
      <c r="G167" s="51">
        <f>NETWORKDAYS(A167,B167-1,Feriados!$A$2:$A$2000)</f>
        <v>87</v>
      </c>
      <c r="H167" s="121">
        <v>5.7</v>
      </c>
      <c r="I167" s="57">
        <v>11.65</v>
      </c>
      <c r="J167" s="53">
        <f t="shared" si="51"/>
        <v>1.0004373924230201</v>
      </c>
      <c r="K167" s="117">
        <f>ROUND(VLOOKUP(A167,'VNA e PRT'!B:G,6,FALSE),2)</f>
        <v>6298.3</v>
      </c>
      <c r="L167" s="117">
        <f>ROUND(VLOOKUP(A167,'VNA e PRT'!B:G,3,FALSE),2)</f>
        <v>1.62</v>
      </c>
      <c r="M167" s="113">
        <f t="shared" si="48"/>
        <v>1.0006990895946899</v>
      </c>
      <c r="N167" s="113">
        <f t="shared" si="49"/>
        <v>0.999738485650291</v>
      </c>
      <c r="O167" s="70">
        <f t="shared" si="50"/>
        <v>149979.57239788887</v>
      </c>
      <c r="P167" s="70">
        <f t="shared" si="52"/>
        <v>145489.78766373382</v>
      </c>
      <c r="Q167" s="70">
        <f t="shared" si="53"/>
        <v>154469.35713204404</v>
      </c>
      <c r="S167" s="57">
        <v>5.3</v>
      </c>
      <c r="T167" s="57">
        <v>11.65</v>
      </c>
      <c r="AA167" s="197"/>
    </row>
    <row r="168" spans="1:27" ht="15" x14ac:dyDescent="0.3">
      <c r="A168" s="60">
        <v>44663</v>
      </c>
      <c r="B168" s="60">
        <v>44788</v>
      </c>
      <c r="C168" s="54">
        <f t="shared" si="45"/>
        <v>98189.41</v>
      </c>
      <c r="D168" s="54">
        <f t="shared" si="46"/>
        <v>98104.38</v>
      </c>
      <c r="E168" s="54">
        <f t="shared" si="47"/>
        <v>98078.772163583009</v>
      </c>
      <c r="F168" s="115">
        <f t="shared" si="44"/>
        <v>174.32</v>
      </c>
      <c r="G168" s="51">
        <f>NETWORKDAYS(A168,B168-1,Feriados!$A$2:$A$2000)</f>
        <v>86</v>
      </c>
      <c r="H168" s="121">
        <v>5.5</v>
      </c>
      <c r="I168" s="57">
        <v>11.65</v>
      </c>
      <c r="J168" s="53">
        <f t="shared" si="51"/>
        <v>1.0004373924230201</v>
      </c>
      <c r="K168" s="117">
        <f>ROUND(VLOOKUP(A168,'VNA e PRT'!B:G,6,FALSE),2)</f>
        <v>6302.7</v>
      </c>
      <c r="L168" s="117">
        <f>ROUND(VLOOKUP(A168,'VNA e PRT'!B:G,3,FALSE),2)</f>
        <v>1.62</v>
      </c>
      <c r="M168" s="113">
        <f t="shared" si="48"/>
        <v>1.00069860120985</v>
      </c>
      <c r="N168" s="113">
        <f t="shared" si="49"/>
        <v>0.99973897356655228</v>
      </c>
      <c r="O168" s="70">
        <f t="shared" si="50"/>
        <v>150045.17232646351</v>
      </c>
      <c r="P168" s="70">
        <f t="shared" si="52"/>
        <v>145379.10379448472</v>
      </c>
      <c r="Q168" s="70">
        <f t="shared" si="53"/>
        <v>154711.24085844238</v>
      </c>
      <c r="S168" s="57">
        <v>5.7</v>
      </c>
      <c r="T168" s="57">
        <v>11.65</v>
      </c>
      <c r="AA168" s="197"/>
    </row>
    <row r="169" spans="1:27" ht="15" x14ac:dyDescent="0.3">
      <c r="A169" s="60">
        <v>44664</v>
      </c>
      <c r="B169" s="60">
        <v>44788</v>
      </c>
      <c r="C169" s="54">
        <f t="shared" si="45"/>
        <v>98279.45</v>
      </c>
      <c r="D169" s="54">
        <f t="shared" si="46"/>
        <v>98189.41</v>
      </c>
      <c r="E169" s="54">
        <f t="shared" si="47"/>
        <v>98163.672169921527</v>
      </c>
      <c r="F169" s="115">
        <f t="shared" si="44"/>
        <v>182.55</v>
      </c>
      <c r="G169" s="51">
        <f>NETWORKDAYS(A169,B169-1,Feriados!$A$2:$A$2000)</f>
        <v>85</v>
      </c>
      <c r="H169" s="121">
        <v>5.28</v>
      </c>
      <c r="I169" s="57">
        <v>11.65</v>
      </c>
      <c r="J169" s="53">
        <f t="shared" si="51"/>
        <v>1.0004373924230201</v>
      </c>
      <c r="K169" s="117">
        <f>ROUND(VLOOKUP(A169,'VNA e PRT'!B:G,6,FALSE),2)</f>
        <v>6307.11</v>
      </c>
      <c r="L169" s="117">
        <f>ROUND(VLOOKUP(A169,'VNA e PRT'!B:G,3,FALSE),2)</f>
        <v>1.62</v>
      </c>
      <c r="M169" s="113">
        <f t="shared" si="48"/>
        <v>1.0006997001285201</v>
      </c>
      <c r="N169" s="113">
        <f t="shared" si="49"/>
        <v>0.9997378757029044</v>
      </c>
      <c r="O169" s="70">
        <f t="shared" si="50"/>
        <v>150110.80094794984</v>
      </c>
      <c r="P169" s="70">
        <f t="shared" si="52"/>
        <v>145260.14151294989</v>
      </c>
      <c r="Q169" s="70">
        <f t="shared" si="53"/>
        <v>154961.46038294988</v>
      </c>
      <c r="S169" s="57">
        <v>5.5</v>
      </c>
      <c r="T169" s="57">
        <v>11.65</v>
      </c>
      <c r="AA169" s="197"/>
    </row>
    <row r="170" spans="1:27" ht="15" x14ac:dyDescent="0.3">
      <c r="A170" s="60">
        <v>44665</v>
      </c>
      <c r="B170" s="60">
        <v>44788</v>
      </c>
      <c r="C170" s="54">
        <f t="shared" si="45"/>
        <v>98383.69</v>
      </c>
      <c r="D170" s="54">
        <f t="shared" si="46"/>
        <v>98279.45</v>
      </c>
      <c r="E170" s="54">
        <f t="shared" si="47"/>
        <v>98253.892277994775</v>
      </c>
      <c r="F170" s="115">
        <f t="shared" si="44"/>
        <v>204.8</v>
      </c>
      <c r="G170" s="51">
        <f>NETWORKDAYS(A170,B170-1,Feriados!$A$2:$A$2000)</f>
        <v>84</v>
      </c>
      <c r="H170" s="121">
        <v>5.01</v>
      </c>
      <c r="I170" s="57">
        <v>11.65</v>
      </c>
      <c r="J170" s="53">
        <f t="shared" si="51"/>
        <v>1.0004373924230201</v>
      </c>
      <c r="K170" s="117">
        <f>ROUND(VLOOKUP(A170,'VNA e PRT'!B:G,6,FALSE),2)</f>
        <v>6311.51</v>
      </c>
      <c r="L170" s="117">
        <f>ROUND(VLOOKUP(A170,'VNA e PRT'!B:G,3,FALSE),2)</f>
        <v>1.62</v>
      </c>
      <c r="M170" s="113">
        <f t="shared" si="48"/>
        <v>1.0006976253783399</v>
      </c>
      <c r="N170" s="113">
        <f t="shared" si="49"/>
        <v>0.99973994846323189</v>
      </c>
      <c r="O170" s="70">
        <f t="shared" si="50"/>
        <v>150176.45827489794</v>
      </c>
      <c r="P170" s="70">
        <f t="shared" si="52"/>
        <v>145118.8771982145</v>
      </c>
      <c r="Q170" s="70">
        <f t="shared" si="53"/>
        <v>155234.03935158151</v>
      </c>
      <c r="S170" s="57">
        <v>5.28</v>
      </c>
      <c r="T170" s="57">
        <v>11.65</v>
      </c>
      <c r="AA170" s="197"/>
    </row>
    <row r="171" spans="1:27" ht="15" x14ac:dyDescent="0.3">
      <c r="A171" s="60">
        <v>44669</v>
      </c>
      <c r="B171" s="60">
        <v>44788</v>
      </c>
      <c r="C171" s="54">
        <f t="shared" si="45"/>
        <v>98452.21</v>
      </c>
      <c r="D171" s="54">
        <f t="shared" si="46"/>
        <v>98383.69</v>
      </c>
      <c r="E171" s="54">
        <f t="shared" si="47"/>
        <v>98357.841512009269</v>
      </c>
      <c r="F171" s="115">
        <f t="shared" si="44"/>
        <v>149</v>
      </c>
      <c r="G171" s="51">
        <f>NETWORKDAYS(A171,B171-1,Feriados!$A$2:$A$2000)</f>
        <v>83</v>
      </c>
      <c r="H171" s="121">
        <v>4.8499999999999996</v>
      </c>
      <c r="I171" s="57">
        <v>11.65</v>
      </c>
      <c r="J171" s="53">
        <f t="shared" si="51"/>
        <v>1.0004373924230201</v>
      </c>
      <c r="K171" s="117">
        <f>ROUND(VLOOKUP(A171,'VNA e PRT'!B:G,6,FALSE),2)</f>
        <v>6315.93</v>
      </c>
      <c r="L171" s="117">
        <f>ROUND(VLOOKUP(A171,'VNA e PRT'!B:G,3,FALSE),2)</f>
        <v>1.62</v>
      </c>
      <c r="M171" s="113">
        <f t="shared" si="48"/>
        <v>1.0007003078502601</v>
      </c>
      <c r="N171" s="113">
        <f t="shared" si="49"/>
        <v>0.99973726856564604</v>
      </c>
      <c r="O171" s="70">
        <f t="shared" si="50"/>
        <v>150242.14431986338</v>
      </c>
      <c r="P171" s="70">
        <f t="shared" si="52"/>
        <v>145033.35109553818</v>
      </c>
      <c r="Q171" s="70">
        <f t="shared" si="53"/>
        <v>155450.9375441887</v>
      </c>
      <c r="S171" s="57">
        <v>5.01</v>
      </c>
      <c r="T171" s="57">
        <v>11.65</v>
      </c>
      <c r="AA171" s="197"/>
    </row>
    <row r="172" spans="1:27" ht="15" x14ac:dyDescent="0.3">
      <c r="A172" s="60">
        <v>44670</v>
      </c>
      <c r="B172" s="60">
        <v>44788</v>
      </c>
      <c r="C172" s="54">
        <f t="shared" si="45"/>
        <v>98446.28</v>
      </c>
      <c r="D172" s="54">
        <f t="shared" si="46"/>
        <v>98452.21</v>
      </c>
      <c r="E172" s="54">
        <f t="shared" si="47"/>
        <v>98456.145008302934</v>
      </c>
      <c r="F172" s="115">
        <f t="shared" si="44"/>
        <v>-15.58</v>
      </c>
      <c r="G172" s="51">
        <f>NETWORKDAYS(A172,B172-1,Feriados!$A$2:$A$2000)</f>
        <v>82</v>
      </c>
      <c r="H172" s="121">
        <v>4.93</v>
      </c>
      <c r="I172" s="57">
        <v>11.65</v>
      </c>
      <c r="J172" s="53">
        <f t="shared" si="51"/>
        <v>1.0004373924230201</v>
      </c>
      <c r="K172" s="117">
        <f>ROUND(VLOOKUP(A172,'VNA e PRT'!B:G,6,FALSE),2)</f>
        <v>6318.44</v>
      </c>
      <c r="L172" s="117">
        <f>ROUND(VLOOKUP(A172,'VNA e PRT'!B:G,3,FALSE),2)</f>
        <v>0.76</v>
      </c>
      <c r="M172" s="113">
        <f t="shared" si="48"/>
        <v>1.0003974078243401</v>
      </c>
      <c r="N172" s="113">
        <f t="shared" si="49"/>
        <v>1.0000399687148001</v>
      </c>
      <c r="O172" s="70">
        <f t="shared" si="50"/>
        <v>150307.85909540718</v>
      </c>
      <c r="P172" s="70">
        <f t="shared" si="52"/>
        <v>145112.36758439257</v>
      </c>
      <c r="Q172" s="70">
        <f t="shared" si="53"/>
        <v>155503.35060642191</v>
      </c>
      <c r="S172" s="57">
        <v>4.8499999999999996</v>
      </c>
      <c r="T172" s="57">
        <v>11.65</v>
      </c>
      <c r="AA172" s="197"/>
    </row>
    <row r="173" spans="1:27" ht="15" x14ac:dyDescent="0.3">
      <c r="A173" s="60">
        <v>44671</v>
      </c>
      <c r="B173" s="60">
        <v>44788</v>
      </c>
      <c r="C173" s="54">
        <f t="shared" si="45"/>
        <v>98531.53</v>
      </c>
      <c r="D173" s="54">
        <f t="shared" si="46"/>
        <v>98446.28</v>
      </c>
      <c r="E173" s="54">
        <f t="shared" si="47"/>
        <v>98450.074555453393</v>
      </c>
      <c r="F173" s="115">
        <f t="shared" si="44"/>
        <v>128.71</v>
      </c>
      <c r="G173" s="51">
        <f>NETWORKDAYS(A173,B173-1,Feriados!$A$2:$A$2000)</f>
        <v>81</v>
      </c>
      <c r="H173" s="121">
        <v>4.71</v>
      </c>
      <c r="I173" s="57">
        <v>11.65</v>
      </c>
      <c r="J173" s="53">
        <f t="shared" si="51"/>
        <v>1.0004373924230201</v>
      </c>
      <c r="K173" s="117">
        <f>ROUND(VLOOKUP(A173,'VNA e PRT'!B:G,6,FALSE),2)</f>
        <v>6320.96</v>
      </c>
      <c r="L173" s="117">
        <f>ROUND(VLOOKUP(A173,'VNA e PRT'!B:G,3,FALSE),2)</f>
        <v>0.76</v>
      </c>
      <c r="M173" s="113">
        <f t="shared" si="48"/>
        <v>1.00039883262324</v>
      </c>
      <c r="N173" s="113">
        <f t="shared" si="49"/>
        <v>1.0000385444270052</v>
      </c>
      <c r="O173" s="70">
        <f t="shared" si="50"/>
        <v>150373.6026140959</v>
      </c>
      <c r="P173" s="70">
        <f t="shared" si="52"/>
        <v>145047.1286344605</v>
      </c>
      <c r="Q173" s="70">
        <f t="shared" si="53"/>
        <v>155700.07659373138</v>
      </c>
      <c r="S173" s="57">
        <v>4.93</v>
      </c>
      <c r="T173" s="57">
        <v>11.65</v>
      </c>
      <c r="AA173" s="197"/>
    </row>
    <row r="174" spans="1:27" ht="15" x14ac:dyDescent="0.3">
      <c r="A174" s="60">
        <v>44673</v>
      </c>
      <c r="B174" s="60">
        <v>44788</v>
      </c>
      <c r="C174" s="54">
        <f t="shared" si="45"/>
        <v>98591.4</v>
      </c>
      <c r="D174" s="54">
        <f t="shared" si="46"/>
        <v>98531.53</v>
      </c>
      <c r="E174" s="54">
        <f t="shared" si="47"/>
        <v>98535.343502637246</v>
      </c>
      <c r="F174" s="115">
        <f t="shared" si="44"/>
        <v>88.61</v>
      </c>
      <c r="G174" s="51">
        <f>NETWORKDAYS(A174,B174-1,Feriados!$A$2:$A$2000)</f>
        <v>80</v>
      </c>
      <c r="H174" s="121">
        <v>4.57</v>
      </c>
      <c r="I174" s="57">
        <v>11.65</v>
      </c>
      <c r="J174" s="53">
        <f t="shared" si="51"/>
        <v>1.0004373924230201</v>
      </c>
      <c r="K174" s="117">
        <f>ROUND(VLOOKUP(A174,'VNA e PRT'!B:G,6,FALSE),2)</f>
        <v>6323.48</v>
      </c>
      <c r="L174" s="117">
        <f>ROUND(VLOOKUP(A174,'VNA e PRT'!B:G,3,FALSE),2)</f>
        <v>0.76</v>
      </c>
      <c r="M174" s="113">
        <f t="shared" si="48"/>
        <v>1.0003986736192001</v>
      </c>
      <c r="N174" s="113">
        <f t="shared" si="49"/>
        <v>1.0000387033738058</v>
      </c>
      <c r="O174" s="70">
        <f t="shared" si="50"/>
        <v>150439.37488850154</v>
      </c>
      <c r="P174" s="70">
        <f t="shared" si="52"/>
        <v>145021.96114950604</v>
      </c>
      <c r="Q174" s="70">
        <f t="shared" si="53"/>
        <v>155856.78862749712</v>
      </c>
      <c r="S174" s="57">
        <v>4.71</v>
      </c>
      <c r="T174" s="57">
        <v>11.65</v>
      </c>
      <c r="AA174" s="197"/>
    </row>
    <row r="175" spans="1:27" ht="15" x14ac:dyDescent="0.3">
      <c r="A175" s="60">
        <v>44676</v>
      </c>
      <c r="B175" s="60">
        <v>44788</v>
      </c>
      <c r="C175" s="54">
        <f t="shared" si="45"/>
        <v>98549.83</v>
      </c>
      <c r="D175" s="54">
        <f t="shared" si="46"/>
        <v>98591.4</v>
      </c>
      <c r="E175" s="54">
        <f t="shared" si="47"/>
        <v>98595.231478111862</v>
      </c>
      <c r="F175" s="115">
        <f t="shared" si="44"/>
        <v>-71.8</v>
      </c>
      <c r="G175" s="51">
        <f>NETWORKDAYS(A175,B175-1,Feriados!$A$2:$A$2000)</f>
        <v>79</v>
      </c>
      <c r="H175" s="121">
        <v>4.7699999999999996</v>
      </c>
      <c r="I175" s="57">
        <v>11.65</v>
      </c>
      <c r="J175" s="53">
        <f t="shared" si="51"/>
        <v>1.0004373924230201</v>
      </c>
      <c r="K175" s="117">
        <f>ROUND(VLOOKUP(A175,'VNA e PRT'!B:G,6,FALSE),2)</f>
        <v>6326</v>
      </c>
      <c r="L175" s="117">
        <f>ROUND(VLOOKUP(A175,'VNA e PRT'!B:G,3,FALSE),2)</f>
        <v>0.76</v>
      </c>
      <c r="M175" s="113">
        <f t="shared" si="48"/>
        <v>1.0003985147418799</v>
      </c>
      <c r="N175" s="113">
        <f t="shared" si="49"/>
        <v>1.0000388621939831</v>
      </c>
      <c r="O175" s="70">
        <f t="shared" si="50"/>
        <v>150505.17593120164</v>
      </c>
      <c r="P175" s="70">
        <f t="shared" si="52"/>
        <v>145157.19265648435</v>
      </c>
      <c r="Q175" s="70">
        <f t="shared" si="53"/>
        <v>155853.15920591904</v>
      </c>
      <c r="S175" s="57">
        <v>4.57</v>
      </c>
      <c r="T175" s="57">
        <v>11.65</v>
      </c>
      <c r="AA175" s="197"/>
    </row>
    <row r="176" spans="1:27" ht="15" x14ac:dyDescent="0.3">
      <c r="A176" s="60">
        <v>44677</v>
      </c>
      <c r="B176" s="60">
        <v>44788</v>
      </c>
      <c r="C176" s="54">
        <f t="shared" si="45"/>
        <v>98585.53</v>
      </c>
      <c r="D176" s="54">
        <f t="shared" si="46"/>
        <v>98549.83</v>
      </c>
      <c r="E176" s="54">
        <f t="shared" si="47"/>
        <v>98553.675501845908</v>
      </c>
      <c r="F176" s="115">
        <f t="shared" si="44"/>
        <v>50.39</v>
      </c>
      <c r="G176" s="51">
        <f>NETWORKDAYS(A176,B176-1,Feriados!$A$2:$A$2000)</f>
        <v>78</v>
      </c>
      <c r="H176" s="121">
        <v>4.71</v>
      </c>
      <c r="I176" s="57">
        <v>11.65</v>
      </c>
      <c r="J176" s="53">
        <f t="shared" si="51"/>
        <v>1.0004373924230201</v>
      </c>
      <c r="K176" s="117">
        <f>ROUND(VLOOKUP(A176,'VNA e PRT'!B:G,6,FALSE),2)</f>
        <v>6328.52</v>
      </c>
      <c r="L176" s="117">
        <f>ROUND(VLOOKUP(A176,'VNA e PRT'!B:G,3,FALSE),2)</f>
        <v>0.76</v>
      </c>
      <c r="M176" s="113">
        <f t="shared" si="48"/>
        <v>1.00039835599115</v>
      </c>
      <c r="N176" s="113">
        <f t="shared" si="49"/>
        <v>1.0000390208876657</v>
      </c>
      <c r="O176" s="70">
        <f t="shared" si="50"/>
        <v>150571.00575477924</v>
      </c>
      <c r="P176" s="70">
        <f t="shared" si="52"/>
        <v>145170.29331269916</v>
      </c>
      <c r="Q176" s="70">
        <f t="shared" si="53"/>
        <v>155971.71819685947</v>
      </c>
      <c r="S176" s="57">
        <v>4.7699999999999996</v>
      </c>
      <c r="T176" s="57">
        <v>11.65</v>
      </c>
      <c r="AA176" s="197"/>
    </row>
    <row r="177" spans="1:27" ht="15" x14ac:dyDescent="0.3">
      <c r="A177" s="60">
        <v>44678</v>
      </c>
      <c r="B177" s="60">
        <v>44788</v>
      </c>
      <c r="C177" s="54">
        <f t="shared" si="45"/>
        <v>98652.51</v>
      </c>
      <c r="D177" s="54">
        <f t="shared" si="46"/>
        <v>98585.53</v>
      </c>
      <c r="E177" s="54">
        <f t="shared" si="47"/>
        <v>98589.392527338656</v>
      </c>
      <c r="F177" s="115">
        <f t="shared" si="44"/>
        <v>99.89</v>
      </c>
      <c r="G177" s="51">
        <f>NETWORKDAYS(A177,B177-1,Feriados!$A$2:$A$2000)</f>
        <v>77</v>
      </c>
      <c r="H177" s="121">
        <v>4.54</v>
      </c>
      <c r="I177" s="57">
        <v>11.65</v>
      </c>
      <c r="J177" s="53">
        <f t="shared" si="51"/>
        <v>1.0004373924230201</v>
      </c>
      <c r="K177" s="117">
        <f>ROUND(VLOOKUP(A177,'VNA e PRT'!B:G,6,FALSE),2)</f>
        <v>6331.04</v>
      </c>
      <c r="L177" s="117">
        <f>ROUND(VLOOKUP(A177,'VNA e PRT'!B:G,3,FALSE),2)</f>
        <v>0.76</v>
      </c>
      <c r="M177" s="113">
        <f t="shared" si="48"/>
        <v>1.0003981973668401</v>
      </c>
      <c r="N177" s="113">
        <f t="shared" si="49"/>
        <v>1.0000391794550241</v>
      </c>
      <c r="O177" s="70">
        <f t="shared" si="50"/>
        <v>150636.86437182289</v>
      </c>
      <c r="P177" s="70">
        <f t="shared" si="52"/>
        <v>145133.89969904174</v>
      </c>
      <c r="Q177" s="70">
        <f t="shared" si="53"/>
        <v>156139.82904460421</v>
      </c>
      <c r="S177" s="57">
        <v>4.71</v>
      </c>
      <c r="T177" s="57">
        <v>11.65</v>
      </c>
      <c r="AA177" s="197"/>
    </row>
    <row r="178" spans="1:27" ht="15" x14ac:dyDescent="0.3">
      <c r="A178" s="60">
        <v>44679</v>
      </c>
      <c r="B178" s="60">
        <v>44788</v>
      </c>
      <c r="C178" s="54">
        <f t="shared" si="45"/>
        <v>98681.279999999999</v>
      </c>
      <c r="D178" s="54">
        <f t="shared" si="46"/>
        <v>98652.51</v>
      </c>
      <c r="E178" s="54">
        <f t="shared" si="47"/>
        <v>98591.478400388558</v>
      </c>
      <c r="F178" s="115">
        <f t="shared" si="44"/>
        <v>142.28</v>
      </c>
      <c r="G178" s="51">
        <f>NETWORKDAYS(A178,B178-1,Feriados!$A$2:$A$2000)</f>
        <v>76</v>
      </c>
      <c r="H178" s="121">
        <v>4.5</v>
      </c>
      <c r="I178" s="57">
        <v>11.65</v>
      </c>
      <c r="J178" s="53">
        <f t="shared" si="51"/>
        <v>1.0004373924230201</v>
      </c>
      <c r="K178" s="117">
        <f>ROUND(VLOOKUP(A178,'VNA e PRT'!B:G,6,FALSE),2)</f>
        <v>6337.73</v>
      </c>
      <c r="L178" s="117">
        <f>ROUND(VLOOKUP(A178,'VNA e PRT'!B:G,3,FALSE),2)</f>
        <v>0.94</v>
      </c>
      <c r="M178" s="113">
        <f t="shared" si="48"/>
        <v>1.00105669842554</v>
      </c>
      <c r="N178" s="113">
        <f t="shared" si="49"/>
        <v>0.99938134772636356</v>
      </c>
      <c r="O178" s="70">
        <f t="shared" si="50"/>
        <v>150702.75179492662</v>
      </c>
      <c r="P178" s="70">
        <f t="shared" si="52"/>
        <v>145055.10016709345</v>
      </c>
      <c r="Q178" s="70">
        <f t="shared" si="53"/>
        <v>156350.40342275996</v>
      </c>
      <c r="S178" s="57">
        <v>4.54</v>
      </c>
      <c r="T178" s="57">
        <v>11.65</v>
      </c>
      <c r="AA178" s="197"/>
    </row>
    <row r="179" spans="1:27" ht="15" x14ac:dyDescent="0.3">
      <c r="A179" s="60">
        <v>44680</v>
      </c>
      <c r="B179" s="60">
        <v>44788</v>
      </c>
      <c r="C179" s="54">
        <f t="shared" si="45"/>
        <v>98704.14</v>
      </c>
      <c r="D179" s="54">
        <f t="shared" si="46"/>
        <v>98681.279999999999</v>
      </c>
      <c r="E179" s="54">
        <f t="shared" si="47"/>
        <v>98675.709700524341</v>
      </c>
      <c r="F179" s="115">
        <f t="shared" si="44"/>
        <v>45.06</v>
      </c>
      <c r="G179" s="51">
        <f>NETWORKDAYS(A179,B179-1,Feriados!$A$2:$A$2000)</f>
        <v>75</v>
      </c>
      <c r="H179" s="121">
        <v>4.4800000000000004</v>
      </c>
      <c r="I179" s="57">
        <v>11.65</v>
      </c>
      <c r="J179" s="53">
        <f t="shared" si="51"/>
        <v>1.0004373924230201</v>
      </c>
      <c r="K179" s="117">
        <f>ROUND(VLOOKUP(A179,'VNA e PRT'!B:G,6,FALSE),2)</f>
        <v>6340.86</v>
      </c>
      <c r="L179" s="117">
        <f>ROUND(VLOOKUP(A179,'VNA e PRT'!B:G,3,FALSE),2)</f>
        <v>0.94</v>
      </c>
      <c r="M179" s="113">
        <f t="shared" si="48"/>
        <v>1.0004938676781701</v>
      </c>
      <c r="N179" s="113">
        <f t="shared" si="49"/>
        <v>0.99994355262238532</v>
      </c>
      <c r="O179" s="70">
        <f t="shared" si="50"/>
        <v>150768.66803669001</v>
      </c>
      <c r="P179" s="70">
        <f t="shared" si="52"/>
        <v>145073.48616882696</v>
      </c>
      <c r="Q179" s="70">
        <f t="shared" si="53"/>
        <v>156463.84990455321</v>
      </c>
      <c r="S179" s="57">
        <v>4.5</v>
      </c>
      <c r="T179" s="57">
        <v>11.65</v>
      </c>
      <c r="AA179" s="197"/>
    </row>
    <row r="180" spans="1:27" ht="15" x14ac:dyDescent="0.3">
      <c r="A180" s="60">
        <v>44683</v>
      </c>
      <c r="B180" s="60">
        <v>44788</v>
      </c>
      <c r="C180" s="54">
        <f t="shared" si="45"/>
        <v>98743.52</v>
      </c>
      <c r="D180" s="54">
        <f t="shared" si="46"/>
        <v>98704.14</v>
      </c>
      <c r="E180" s="54">
        <f t="shared" si="47"/>
        <v>98698.748037831916</v>
      </c>
      <c r="F180" s="115">
        <f t="shared" si="44"/>
        <v>71</v>
      </c>
      <c r="G180" s="51">
        <f>NETWORKDAYS(A180,B180-1,Feriados!$A$2:$A$2000)</f>
        <v>74</v>
      </c>
      <c r="H180" s="121">
        <v>4.4000000000000004</v>
      </c>
      <c r="I180" s="57">
        <v>11.65</v>
      </c>
      <c r="J180" s="53">
        <f t="shared" si="51"/>
        <v>1.0004373924230201</v>
      </c>
      <c r="K180" s="117">
        <f>ROUND(VLOOKUP(A180,'VNA e PRT'!B:G,6,FALSE),2)</f>
        <v>6343.98</v>
      </c>
      <c r="L180" s="117">
        <f>ROUND(VLOOKUP(A180,'VNA e PRT'!B:G,3,FALSE),2)</f>
        <v>0.94</v>
      </c>
      <c r="M180" s="113">
        <f t="shared" si="48"/>
        <v>1.0004920468201499</v>
      </c>
      <c r="N180" s="113">
        <f t="shared" si="49"/>
        <v>0.99994537248216664</v>
      </c>
      <c r="O180" s="70">
        <f t="shared" si="50"/>
        <v>150834.61310971811</v>
      </c>
      <c r="P180" s="70">
        <f t="shared" si="52"/>
        <v>145065.94021245831</v>
      </c>
      <c r="Q180" s="70">
        <f t="shared" si="53"/>
        <v>156603.28600697801</v>
      </c>
      <c r="S180" s="57">
        <v>4.4800000000000004</v>
      </c>
      <c r="T180" s="57">
        <v>11.65</v>
      </c>
      <c r="AA180" s="197"/>
    </row>
    <row r="181" spans="1:27" ht="15" x14ac:dyDescent="0.3">
      <c r="A181" s="60">
        <v>44684</v>
      </c>
      <c r="B181" s="60">
        <v>44788</v>
      </c>
      <c r="C181" s="54">
        <f t="shared" si="45"/>
        <v>98768.61</v>
      </c>
      <c r="D181" s="54">
        <f t="shared" si="46"/>
        <v>98743.52</v>
      </c>
      <c r="E181" s="54">
        <f t="shared" si="47"/>
        <v>98738.149768592804</v>
      </c>
      <c r="F181" s="115">
        <f t="shared" si="44"/>
        <v>48.33</v>
      </c>
      <c r="G181" s="51">
        <f>NETWORKDAYS(A181,B181-1,Feriados!$A$2:$A$2000)</f>
        <v>73</v>
      </c>
      <c r="H181" s="121">
        <v>4.37</v>
      </c>
      <c r="I181" s="57">
        <v>11.65</v>
      </c>
      <c r="J181" s="53">
        <f t="shared" si="51"/>
        <v>1.0004373924230201</v>
      </c>
      <c r="K181" s="117">
        <f>ROUND(VLOOKUP(A181,'VNA e PRT'!B:G,6,FALSE),2)</f>
        <v>6347.1</v>
      </c>
      <c r="L181" s="117">
        <f>ROUND(VLOOKUP(A181,'VNA e PRT'!B:G,3,FALSE),2)</f>
        <v>0.94</v>
      </c>
      <c r="M181" s="113">
        <f t="shared" si="48"/>
        <v>1.00049180482915</v>
      </c>
      <c r="N181" s="113">
        <f t="shared" si="49"/>
        <v>0.99994561434099982</v>
      </c>
      <c r="O181" s="70">
        <f t="shared" si="50"/>
        <v>150900.58702662148</v>
      </c>
      <c r="P181" s="70">
        <f t="shared" si="52"/>
        <v>145081.06095554554</v>
      </c>
      <c r="Q181" s="70">
        <f t="shared" si="53"/>
        <v>156720.1130976975</v>
      </c>
      <c r="S181" s="57">
        <v>4.4000000000000004</v>
      </c>
      <c r="T181" s="57">
        <v>11.65</v>
      </c>
      <c r="AA181" s="197"/>
    </row>
    <row r="182" spans="1:27" ht="15" x14ac:dyDescent="0.3">
      <c r="A182" s="60">
        <v>44685</v>
      </c>
      <c r="B182" s="60">
        <v>44788</v>
      </c>
      <c r="C182" s="54">
        <f t="shared" si="45"/>
        <v>98817.85</v>
      </c>
      <c r="D182" s="54">
        <f t="shared" si="46"/>
        <v>98768.61</v>
      </c>
      <c r="E182" s="54">
        <f t="shared" si="47"/>
        <v>98763.106741581476</v>
      </c>
      <c r="F182" s="115">
        <f t="shared" si="44"/>
        <v>86.9</v>
      </c>
      <c r="G182" s="51">
        <f>NETWORKDAYS(A182,B182-1,Feriados!$A$2:$A$2000)</f>
        <v>72</v>
      </c>
      <c r="H182" s="121">
        <v>4.25</v>
      </c>
      <c r="I182" s="57">
        <v>11.65</v>
      </c>
      <c r="J182" s="53">
        <f t="shared" si="51"/>
        <v>1.0004373924230201</v>
      </c>
      <c r="K182" s="117">
        <f>ROUND(VLOOKUP(A182,'VNA e PRT'!B:G,6,FALSE),2)</f>
        <v>6350.23</v>
      </c>
      <c r="L182" s="117">
        <f>ROUND(VLOOKUP(A182,'VNA e PRT'!B:G,3,FALSE),2)</f>
        <v>0.94</v>
      </c>
      <c r="M182" s="113">
        <f t="shared" si="48"/>
        <v>1.0004931385987299</v>
      </c>
      <c r="N182" s="113">
        <f t="shared" si="49"/>
        <v>0.99994428130133117</v>
      </c>
      <c r="O182" s="70">
        <f t="shared" si="50"/>
        <v>150966.5898000162</v>
      </c>
      <c r="P182" s="70">
        <f t="shared" si="52"/>
        <v>145057.61831233124</v>
      </c>
      <c r="Q182" s="70">
        <f t="shared" si="53"/>
        <v>156875.56128770128</v>
      </c>
      <c r="S182" s="57">
        <v>4.37</v>
      </c>
      <c r="T182" s="57">
        <v>11.65</v>
      </c>
      <c r="AA182" s="197"/>
    </row>
    <row r="183" spans="1:27" ht="15" x14ac:dyDescent="0.3">
      <c r="A183" s="60">
        <v>44686</v>
      </c>
      <c r="B183" s="60">
        <v>44788</v>
      </c>
      <c r="C183" s="54">
        <f t="shared" si="45"/>
        <v>98850.21</v>
      </c>
      <c r="D183" s="54">
        <f t="shared" si="46"/>
        <v>98817.85</v>
      </c>
      <c r="E183" s="54">
        <f t="shared" si="47"/>
        <v>98812.368004062693</v>
      </c>
      <c r="F183" s="115">
        <f t="shared" si="44"/>
        <v>60.1</v>
      </c>
      <c r="G183" s="51">
        <f>NETWORKDAYS(A183,B183-1,Feriados!$A$2:$A$2000)</f>
        <v>71</v>
      </c>
      <c r="H183" s="121">
        <v>4.1900000000000004</v>
      </c>
      <c r="I183" s="57">
        <v>11.65</v>
      </c>
      <c r="J183" s="53">
        <f t="shared" si="51"/>
        <v>1.0004373924230201</v>
      </c>
      <c r="K183" s="117">
        <f>ROUND(VLOOKUP(A183,'VNA e PRT'!B:G,6,FALSE),2)</f>
        <v>6353.36</v>
      </c>
      <c r="L183" s="117">
        <f>ROUND(VLOOKUP(A183,'VNA e PRT'!B:G,3,FALSE),2)</f>
        <v>0.94</v>
      </c>
      <c r="M183" s="113">
        <f t="shared" si="48"/>
        <v>1.00049289553292</v>
      </c>
      <c r="N183" s="113">
        <f t="shared" si="49"/>
        <v>0.99994452423385749</v>
      </c>
      <c r="O183" s="70">
        <f t="shared" si="50"/>
        <v>151032.6214425239</v>
      </c>
      <c r="P183" s="70">
        <f t="shared" si="52"/>
        <v>145060.96541548238</v>
      </c>
      <c r="Q183" s="70">
        <f t="shared" si="53"/>
        <v>157004.27746956554</v>
      </c>
      <c r="S183" s="57">
        <v>4.25</v>
      </c>
      <c r="T183" s="57">
        <v>11.65</v>
      </c>
      <c r="AA183" s="197"/>
    </row>
    <row r="184" spans="1:27" ht="15" x14ac:dyDescent="0.3">
      <c r="A184" s="60">
        <v>44687</v>
      </c>
      <c r="B184" s="60">
        <v>44788</v>
      </c>
      <c r="C184" s="54">
        <f t="shared" si="45"/>
        <v>98969.35</v>
      </c>
      <c r="D184" s="54">
        <f t="shared" si="46"/>
        <v>98850.21</v>
      </c>
      <c r="E184" s="54">
        <f t="shared" si="47"/>
        <v>98848.247752520052</v>
      </c>
      <c r="F184" s="115">
        <f t="shared" si="44"/>
        <v>192.44</v>
      </c>
      <c r="G184" s="51">
        <f>NETWORKDAYS(A184,B184-1,Feriados!$A$2:$A$2000)</f>
        <v>70</v>
      </c>
      <c r="H184" s="121">
        <v>3.8</v>
      </c>
      <c r="I184" s="57">
        <v>12.65</v>
      </c>
      <c r="J184" s="53">
        <f t="shared" si="51"/>
        <v>1.0004727922107399</v>
      </c>
      <c r="K184" s="117">
        <f>ROUND(VLOOKUP(A184,'VNA e PRT'!B:G,6,FALSE),2)</f>
        <v>6356.49</v>
      </c>
      <c r="L184" s="117">
        <f>ROUND(VLOOKUP(A184,'VNA e PRT'!B:G,3,FALSE),2)</f>
        <v>0.94</v>
      </c>
      <c r="M184" s="113">
        <f t="shared" si="48"/>
        <v>1.0004926527066</v>
      </c>
      <c r="N184" s="113">
        <f t="shared" si="49"/>
        <v>0.99998014928364898</v>
      </c>
      <c r="O184" s="70">
        <f t="shared" si="50"/>
        <v>151098.68196677172</v>
      </c>
      <c r="P184" s="70">
        <f t="shared" si="52"/>
        <v>144931.97398263108</v>
      </c>
      <c r="Q184" s="70">
        <f t="shared" si="53"/>
        <v>157265.38995091247</v>
      </c>
      <c r="S184" s="57">
        <v>4.1900000000000004</v>
      </c>
      <c r="T184" s="57">
        <v>12.65</v>
      </c>
      <c r="AA184" s="197"/>
    </row>
    <row r="185" spans="1:27" ht="15" x14ac:dyDescent="0.3">
      <c r="A185" s="60">
        <v>44690</v>
      </c>
      <c r="B185" s="60">
        <v>44788</v>
      </c>
      <c r="C185" s="54">
        <f t="shared" si="45"/>
        <v>98846.06</v>
      </c>
      <c r="D185" s="54">
        <f t="shared" si="46"/>
        <v>98969.35</v>
      </c>
      <c r="E185" s="54">
        <f t="shared" si="47"/>
        <v>98967.409383908584</v>
      </c>
      <c r="F185" s="115">
        <f t="shared" si="44"/>
        <v>-192.93</v>
      </c>
      <c r="G185" s="51">
        <f>NETWORKDAYS(A185,B185-1,Feriados!$A$2:$A$2000)</f>
        <v>69</v>
      </c>
      <c r="H185" s="121">
        <v>4.33</v>
      </c>
      <c r="I185" s="57">
        <v>12.65</v>
      </c>
      <c r="J185" s="53">
        <f t="shared" si="51"/>
        <v>1.0004727922107399</v>
      </c>
      <c r="K185" s="117">
        <f>ROUND(VLOOKUP(A185,'VNA e PRT'!B:G,6,FALSE),2)</f>
        <v>6359.62</v>
      </c>
      <c r="L185" s="117">
        <f>ROUND(VLOOKUP(A185,'VNA e PRT'!B:G,3,FALSE),2)</f>
        <v>0.94</v>
      </c>
      <c r="M185" s="113">
        <f t="shared" si="48"/>
        <v>1.0004924101194199</v>
      </c>
      <c r="N185" s="113">
        <f t="shared" si="49"/>
        <v>0.99998039174662234</v>
      </c>
      <c r="O185" s="70">
        <f t="shared" si="50"/>
        <v>151170.12024665868</v>
      </c>
      <c r="P185" s="70">
        <f t="shared" si="52"/>
        <v>145193.42669101723</v>
      </c>
      <c r="Q185" s="70">
        <f t="shared" si="53"/>
        <v>157146.81380230025</v>
      </c>
      <c r="S185" s="57">
        <v>3.8</v>
      </c>
      <c r="T185" s="57">
        <v>12.65</v>
      </c>
      <c r="AA185" s="197"/>
    </row>
    <row r="186" spans="1:27" ht="15" x14ac:dyDescent="0.3">
      <c r="A186" s="60">
        <v>44691</v>
      </c>
      <c r="B186" s="60">
        <v>44788</v>
      </c>
      <c r="C186" s="54">
        <f t="shared" si="45"/>
        <v>98768.3</v>
      </c>
      <c r="D186" s="54">
        <f t="shared" si="46"/>
        <v>98846.06</v>
      </c>
      <c r="E186" s="54">
        <f t="shared" si="47"/>
        <v>98844.145744339985</v>
      </c>
      <c r="F186" s="115">
        <f t="shared" si="44"/>
        <v>-120.64</v>
      </c>
      <c r="G186" s="51">
        <f>NETWORKDAYS(A186,B186-1,Feriados!$A$2:$A$2000)</f>
        <v>68</v>
      </c>
      <c r="H186" s="121">
        <v>4.7</v>
      </c>
      <c r="I186" s="57">
        <v>12.65</v>
      </c>
      <c r="J186" s="53">
        <f t="shared" si="51"/>
        <v>1.0004727922107399</v>
      </c>
      <c r="K186" s="117">
        <f>ROUND(VLOOKUP(A186,'VNA e PRT'!B:G,6,FALSE),2)</f>
        <v>6362.75</v>
      </c>
      <c r="L186" s="117">
        <f>ROUND(VLOOKUP(A186,'VNA e PRT'!B:G,3,FALSE),2)</f>
        <v>0.94</v>
      </c>
      <c r="M186" s="113">
        <f t="shared" si="48"/>
        <v>1.0004921677710299</v>
      </c>
      <c r="N186" s="113">
        <f t="shared" si="49"/>
        <v>0.99998063397104531</v>
      </c>
      <c r="O186" s="70">
        <f t="shared" si="50"/>
        <v>151241.59230200792</v>
      </c>
      <c r="P186" s="70">
        <f t="shared" si="52"/>
        <v>145382.71301220739</v>
      </c>
      <c r="Q186" s="70">
        <f t="shared" si="53"/>
        <v>157100.47159180857</v>
      </c>
      <c r="S186" s="57">
        <v>4.33</v>
      </c>
      <c r="T186" s="57">
        <v>12.65</v>
      </c>
      <c r="AA186" s="197"/>
    </row>
    <row r="187" spans="1:27" ht="15" x14ac:dyDescent="0.3">
      <c r="A187" s="60">
        <v>44692</v>
      </c>
      <c r="B187" s="60">
        <v>44788</v>
      </c>
      <c r="C187" s="54">
        <f t="shared" si="45"/>
        <v>98874.28</v>
      </c>
      <c r="D187" s="54">
        <f t="shared" si="46"/>
        <v>98768.3</v>
      </c>
      <c r="E187" s="54">
        <f t="shared" si="47"/>
        <v>98667.524774055157</v>
      </c>
      <c r="F187" s="115">
        <f t="shared" si="44"/>
        <v>329.37</v>
      </c>
      <c r="G187" s="51">
        <f>NETWORKDAYS(A187,B187-1,Feriados!$A$2:$A$2000)</f>
        <v>67</v>
      </c>
      <c r="H187" s="121">
        <v>4.3499999999999996</v>
      </c>
      <c r="I187" s="57">
        <v>12.65</v>
      </c>
      <c r="J187" s="53">
        <f t="shared" si="51"/>
        <v>1.0004727922107399</v>
      </c>
      <c r="K187" s="117">
        <f>ROUND(VLOOKUP(A187,'VNA e PRT'!B:G,6,FALSE),2)</f>
        <v>6372.26</v>
      </c>
      <c r="L187" s="117">
        <f>ROUND(VLOOKUP(A187,'VNA e PRT'!B:G,3,FALSE),2)</f>
        <v>1.06</v>
      </c>
      <c r="M187" s="113">
        <f t="shared" si="48"/>
        <v>1.00149463675298</v>
      </c>
      <c r="N187" s="113">
        <f t="shared" si="49"/>
        <v>0.99897968046483698</v>
      </c>
      <c r="O187" s="70">
        <f t="shared" si="50"/>
        <v>151313.09814878821</v>
      </c>
      <c r="P187" s="70">
        <f t="shared" si="52"/>
        <v>145122.0788264958</v>
      </c>
      <c r="Q187" s="70">
        <f t="shared" si="53"/>
        <v>157504.11747108074</v>
      </c>
      <c r="S187" s="57">
        <v>4.7</v>
      </c>
      <c r="T187" s="57">
        <v>12.65</v>
      </c>
      <c r="AA187" s="197"/>
    </row>
    <row r="188" spans="1:27" ht="15" x14ac:dyDescent="0.3">
      <c r="A188" s="60">
        <v>44693</v>
      </c>
      <c r="B188" s="60">
        <v>44788</v>
      </c>
      <c r="C188" s="54">
        <f t="shared" si="45"/>
        <v>98878.59</v>
      </c>
      <c r="D188" s="54">
        <f t="shared" si="46"/>
        <v>98874.28</v>
      </c>
      <c r="E188" s="54">
        <f t="shared" si="47"/>
        <v>98866.258682240412</v>
      </c>
      <c r="F188" s="115">
        <f t="shared" si="44"/>
        <v>19.649999999999999</v>
      </c>
      <c r="G188" s="51">
        <f>NETWORKDAYS(A188,B188-1,Feriados!$A$2:$A$2000)</f>
        <v>66</v>
      </c>
      <c r="H188" s="121">
        <v>4.4000000000000004</v>
      </c>
      <c r="I188" s="57">
        <v>12.65</v>
      </c>
      <c r="J188" s="53">
        <f t="shared" si="51"/>
        <v>1.0004727922107399</v>
      </c>
      <c r="K188" s="117">
        <f>ROUND(VLOOKUP(A188,'VNA e PRT'!B:G,6,FALSE),2)</f>
        <v>6375.79</v>
      </c>
      <c r="L188" s="117">
        <f>ROUND(VLOOKUP(A188,'VNA e PRT'!B:G,3,FALSE),2)</f>
        <v>1.06</v>
      </c>
      <c r="M188" s="113">
        <f t="shared" si="48"/>
        <v>1.00055396358592</v>
      </c>
      <c r="N188" s="113">
        <f t="shared" si="49"/>
        <v>0.99991887356591025</v>
      </c>
      <c r="O188" s="70">
        <f t="shared" si="50"/>
        <v>151384.63780297589</v>
      </c>
      <c r="P188" s="70">
        <f t="shared" si="52"/>
        <v>145171.04141497135</v>
      </c>
      <c r="Q188" s="70">
        <f t="shared" si="53"/>
        <v>157598.23419098053</v>
      </c>
      <c r="S188" s="57">
        <v>4.3499999999999996</v>
      </c>
      <c r="T188" s="57">
        <v>12.65</v>
      </c>
      <c r="AA188" s="197"/>
    </row>
    <row r="189" spans="1:27" ht="15" x14ac:dyDescent="0.3">
      <c r="A189" s="60">
        <v>44694</v>
      </c>
      <c r="B189" s="60">
        <v>44788</v>
      </c>
      <c r="C189" s="54">
        <f t="shared" si="45"/>
        <v>98934.62</v>
      </c>
      <c r="D189" s="54">
        <f t="shared" si="46"/>
        <v>98878.59</v>
      </c>
      <c r="E189" s="54">
        <f t="shared" si="47"/>
        <v>98870.443654110946</v>
      </c>
      <c r="F189" s="115">
        <f t="shared" si="44"/>
        <v>102.35</v>
      </c>
      <c r="G189" s="51">
        <f>NETWORKDAYS(A189,B189-1,Feriados!$A$2:$A$2000)</f>
        <v>65</v>
      </c>
      <c r="H189" s="121">
        <v>4.24</v>
      </c>
      <c r="I189" s="57">
        <v>12.65</v>
      </c>
      <c r="J189" s="53">
        <f t="shared" si="51"/>
        <v>1.0004727922107399</v>
      </c>
      <c r="K189" s="117">
        <f>ROUND(VLOOKUP(A189,'VNA e PRT'!B:G,6,FALSE),2)</f>
        <v>6379.33</v>
      </c>
      <c r="L189" s="117">
        <f>ROUND(VLOOKUP(A189,'VNA e PRT'!B:G,3,FALSE),2)</f>
        <v>1.06</v>
      </c>
      <c r="M189" s="113">
        <f t="shared" si="48"/>
        <v>1.0005552253132599</v>
      </c>
      <c r="N189" s="113">
        <f t="shared" si="49"/>
        <v>0.99991761264102719</v>
      </c>
      <c r="O189" s="70">
        <f t="shared" si="50"/>
        <v>151456.21128055482</v>
      </c>
      <c r="P189" s="70">
        <f t="shared" si="52"/>
        <v>145137.32715257735</v>
      </c>
      <c r="Q189" s="70">
        <f t="shared" si="53"/>
        <v>157775.09540853239</v>
      </c>
      <c r="S189" s="57">
        <v>4.4000000000000004</v>
      </c>
      <c r="T189" s="57">
        <v>12.65</v>
      </c>
      <c r="AA189" s="197"/>
    </row>
    <row r="190" spans="1:27" ht="15" x14ac:dyDescent="0.3">
      <c r="A190" s="60">
        <v>44697</v>
      </c>
      <c r="B190" s="60">
        <v>44788</v>
      </c>
      <c r="C190" s="54">
        <f t="shared" si="45"/>
        <v>98881.13</v>
      </c>
      <c r="D190" s="54">
        <f t="shared" si="46"/>
        <v>98934.62</v>
      </c>
      <c r="E190" s="54">
        <f t="shared" si="47"/>
        <v>98926.344513446049</v>
      </c>
      <c r="F190" s="115">
        <f t="shared" si="44"/>
        <v>-72.14</v>
      </c>
      <c r="G190" s="51">
        <f>NETWORKDAYS(A190,B190-1,Feriados!$A$2:$A$2000)</f>
        <v>64</v>
      </c>
      <c r="H190" s="121">
        <v>4.53</v>
      </c>
      <c r="I190" s="57">
        <v>12.65</v>
      </c>
      <c r="J190" s="53">
        <f t="shared" si="51"/>
        <v>1.0004727922107399</v>
      </c>
      <c r="K190" s="117">
        <f>ROUND(VLOOKUP(A190,'VNA e PRT'!B:G,6,FALSE),2)</f>
        <v>6382.88</v>
      </c>
      <c r="L190" s="117">
        <f>ROUND(VLOOKUP(A190,'VNA e PRT'!B:G,3,FALSE),2)</f>
        <v>1.06</v>
      </c>
      <c r="M190" s="113">
        <f t="shared" si="48"/>
        <v>1.0005564847719099</v>
      </c>
      <c r="N190" s="113">
        <f t="shared" si="49"/>
        <v>0.99991635398656264</v>
      </c>
      <c r="O190" s="70">
        <f t="shared" si="50"/>
        <v>151527.81859751645</v>
      </c>
      <c r="P190" s="70">
        <f t="shared" si="52"/>
        <v>145278.08695034272</v>
      </c>
      <c r="Q190" s="70">
        <f t="shared" si="53"/>
        <v>157777.55024469027</v>
      </c>
      <c r="S190" s="57">
        <v>4.24</v>
      </c>
      <c r="T190" s="57">
        <v>12.65</v>
      </c>
      <c r="AA190" s="197"/>
    </row>
    <row r="191" spans="1:27" ht="15" x14ac:dyDescent="0.3">
      <c r="A191" s="60">
        <v>44698</v>
      </c>
      <c r="B191" s="60">
        <v>44788</v>
      </c>
      <c r="C191" s="54">
        <f t="shared" si="45"/>
        <v>98912.71</v>
      </c>
      <c r="D191" s="54">
        <f t="shared" si="46"/>
        <v>98881.13</v>
      </c>
      <c r="E191" s="54">
        <f t="shared" si="47"/>
        <v>98907.270930943487</v>
      </c>
      <c r="F191" s="115">
        <f t="shared" si="44"/>
        <v>8.68</v>
      </c>
      <c r="G191" s="51">
        <f>NETWORKDAYS(A191,B191-1,Feriados!$A$2:$A$2000)</f>
        <v>63</v>
      </c>
      <c r="H191" s="121">
        <v>4.47</v>
      </c>
      <c r="I191" s="57">
        <v>12.65</v>
      </c>
      <c r="J191" s="53">
        <f t="shared" si="51"/>
        <v>1.0004727922107399</v>
      </c>
      <c r="K191" s="117">
        <f>ROUND(VLOOKUP(A191,'VNA e PRT'!B:G,6,FALSE),2)</f>
        <v>6384.21</v>
      </c>
      <c r="L191" s="117">
        <f>ROUND(VLOOKUP(A191,'VNA e PRT'!B:G,3,FALSE),2)</f>
        <v>0.46</v>
      </c>
      <c r="M191" s="113">
        <f t="shared" si="48"/>
        <v>1.0002083698894499</v>
      </c>
      <c r="N191" s="113">
        <f t="shared" si="49"/>
        <v>1.0002643672351184</v>
      </c>
      <c r="O191" s="70">
        <f t="shared" si="50"/>
        <v>151599.45976985976</v>
      </c>
      <c r="P191" s="70">
        <f t="shared" si="52"/>
        <v>145338.09329824406</v>
      </c>
      <c r="Q191" s="70">
        <f t="shared" si="53"/>
        <v>157860.82624147559</v>
      </c>
      <c r="S191" s="57">
        <v>4.53</v>
      </c>
      <c r="T191" s="57">
        <v>12.65</v>
      </c>
      <c r="AA191" s="197"/>
    </row>
    <row r="192" spans="1:27" ht="15" x14ac:dyDescent="0.3">
      <c r="A192" s="60">
        <v>44699</v>
      </c>
      <c r="B192" s="60">
        <v>44788</v>
      </c>
      <c r="C192" s="54">
        <f t="shared" si="45"/>
        <v>98781.33</v>
      </c>
      <c r="D192" s="54">
        <f t="shared" si="46"/>
        <v>98912.71</v>
      </c>
      <c r="E192" s="54">
        <f t="shared" si="47"/>
        <v>98938.863573599228</v>
      </c>
      <c r="F192" s="115">
        <f t="shared" si="44"/>
        <v>-251.48</v>
      </c>
      <c r="G192" s="51">
        <f>NETWORKDAYS(A192,B192-1,Feriados!$A$2:$A$2000)</f>
        <v>62</v>
      </c>
      <c r="H192" s="121">
        <v>5.1100000000000003</v>
      </c>
      <c r="I192" s="57">
        <v>12.65</v>
      </c>
      <c r="J192" s="53">
        <f t="shared" si="51"/>
        <v>1.0004727922107399</v>
      </c>
      <c r="K192" s="117">
        <f>ROUND(VLOOKUP(A192,'VNA e PRT'!B:G,6,FALSE),2)</f>
        <v>6385.54</v>
      </c>
      <c r="L192" s="117">
        <f>ROUND(VLOOKUP(A192,'VNA e PRT'!B:G,3,FALSE),2)</f>
        <v>0.46</v>
      </c>
      <c r="M192" s="113">
        <f t="shared" si="48"/>
        <v>1.00020832648049</v>
      </c>
      <c r="N192" s="113">
        <f t="shared" si="49"/>
        <v>1.0002644106465106</v>
      </c>
      <c r="O192" s="70">
        <f t="shared" si="50"/>
        <v>151671.13481359134</v>
      </c>
      <c r="P192" s="70">
        <f t="shared" si="52"/>
        <v>145658.28801667926</v>
      </c>
      <c r="Q192" s="70">
        <f t="shared" si="53"/>
        <v>157683.98161050351</v>
      </c>
      <c r="S192" s="57">
        <v>4.47</v>
      </c>
      <c r="T192" s="57">
        <v>12.65</v>
      </c>
      <c r="AA192" s="197"/>
    </row>
    <row r="193" spans="1:27" ht="15" x14ac:dyDescent="0.3">
      <c r="A193" s="60">
        <v>44700</v>
      </c>
      <c r="B193" s="60">
        <v>44788</v>
      </c>
      <c r="C193" s="54">
        <f t="shared" si="45"/>
        <v>98558.94</v>
      </c>
      <c r="D193" s="54">
        <f t="shared" si="46"/>
        <v>98781.33</v>
      </c>
      <c r="E193" s="54">
        <f t="shared" si="47"/>
        <v>98807.453121777842</v>
      </c>
      <c r="F193" s="115">
        <f t="shared" si="44"/>
        <v>-396.8</v>
      </c>
      <c r="G193" s="51">
        <f>NETWORKDAYS(A193,B193-1,Feriados!$A$2:$A$2000)</f>
        <v>61</v>
      </c>
      <c r="H193" s="121">
        <v>6.18</v>
      </c>
      <c r="I193" s="57">
        <v>12.65</v>
      </c>
      <c r="J193" s="53">
        <f t="shared" si="51"/>
        <v>1.0004727922107399</v>
      </c>
      <c r="K193" s="117">
        <f>ROUND(VLOOKUP(A193,'VNA e PRT'!B:G,6,FALSE),2)</f>
        <v>6386.87</v>
      </c>
      <c r="L193" s="117">
        <f>ROUND(VLOOKUP(A193,'VNA e PRT'!B:G,3,FALSE),2)</f>
        <v>0.46</v>
      </c>
      <c r="M193" s="113">
        <f t="shared" si="48"/>
        <v>1.00020828308961</v>
      </c>
      <c r="N193" s="113">
        <f t="shared" si="49"/>
        <v>1.0002644540398256</v>
      </c>
      <c r="O193" s="70">
        <f t="shared" si="50"/>
        <v>151742.84374472528</v>
      </c>
      <c r="P193" s="70">
        <f t="shared" si="52"/>
        <v>146123.95412068325</v>
      </c>
      <c r="Q193" s="70">
        <f t="shared" si="53"/>
        <v>157361.73336876743</v>
      </c>
      <c r="S193" s="57">
        <v>5.1100000000000003</v>
      </c>
      <c r="T193" s="57">
        <v>12.65</v>
      </c>
      <c r="AA193" s="197"/>
    </row>
    <row r="194" spans="1:27" ht="15" x14ac:dyDescent="0.3">
      <c r="A194" s="60">
        <v>44701</v>
      </c>
      <c r="B194" s="60">
        <v>44788</v>
      </c>
      <c r="C194" s="54">
        <f t="shared" si="45"/>
        <v>98611.15</v>
      </c>
      <c r="D194" s="54">
        <f t="shared" si="46"/>
        <v>98558.94</v>
      </c>
      <c r="E194" s="54">
        <f t="shared" si="47"/>
        <v>98585.008584863346</v>
      </c>
      <c r="F194" s="115">
        <f t="shared" si="44"/>
        <v>41.74</v>
      </c>
      <c r="G194" s="51">
        <f>NETWORKDAYS(A194,B194-1,Feriados!$A$2:$A$2000)</f>
        <v>60</v>
      </c>
      <c r="H194" s="121">
        <v>6.05</v>
      </c>
      <c r="I194" s="57">
        <v>12.65</v>
      </c>
      <c r="J194" s="53">
        <f t="shared" si="51"/>
        <v>1.0004727922107399</v>
      </c>
      <c r="K194" s="117">
        <f>ROUND(VLOOKUP(A194,'VNA e PRT'!B:G,6,FALSE),2)</f>
        <v>6388.2</v>
      </c>
      <c r="L194" s="117">
        <f>ROUND(VLOOKUP(A194,'VNA e PRT'!B:G,3,FALSE),2)</f>
        <v>0.46</v>
      </c>
      <c r="M194" s="113">
        <f t="shared" si="48"/>
        <v>1.00020823971679</v>
      </c>
      <c r="N194" s="113">
        <f t="shared" si="49"/>
        <v>1.0002644974150832</v>
      </c>
      <c r="O194" s="70">
        <f t="shared" si="50"/>
        <v>151814.58657928332</v>
      </c>
      <c r="P194" s="70">
        <f t="shared" si="52"/>
        <v>146151.30038799404</v>
      </c>
      <c r="Q194" s="70">
        <f t="shared" si="53"/>
        <v>157477.87277057269</v>
      </c>
      <c r="S194" s="57">
        <v>6.18</v>
      </c>
      <c r="T194" s="57">
        <v>12.65</v>
      </c>
      <c r="AA194" s="197"/>
    </row>
    <row r="195" spans="1:27" ht="15" x14ac:dyDescent="0.3">
      <c r="A195" s="60">
        <v>44704</v>
      </c>
      <c r="B195" s="60">
        <v>44788</v>
      </c>
      <c r="C195" s="54">
        <f t="shared" si="45"/>
        <v>98605.85</v>
      </c>
      <c r="D195" s="54">
        <f t="shared" si="46"/>
        <v>98611.15</v>
      </c>
      <c r="E195" s="54">
        <f t="shared" si="47"/>
        <v>98637.082296790206</v>
      </c>
      <c r="F195" s="115">
        <f t="shared" ref="F195:F254" si="54">TRUNC((C195-E195)*0.00025*K195,2)</f>
        <v>-49.89</v>
      </c>
      <c r="G195" s="51">
        <f>NETWORKDAYS(A195,B195-1,Feriados!$A$2:$A$2000)</f>
        <v>59</v>
      </c>
      <c r="H195" s="121">
        <v>6.18</v>
      </c>
      <c r="I195" s="57">
        <v>12.65</v>
      </c>
      <c r="J195" s="53">
        <f t="shared" si="51"/>
        <v>1.0004727922107399</v>
      </c>
      <c r="K195" s="117">
        <f>ROUND(VLOOKUP(A195,'VNA e PRT'!B:G,6,FALSE),2)</f>
        <v>6389.54</v>
      </c>
      <c r="L195" s="117">
        <f>ROUND(VLOOKUP(A195,'VNA e PRT'!B:G,3,FALSE),2)</f>
        <v>0.46</v>
      </c>
      <c r="M195" s="113">
        <f t="shared" si="48"/>
        <v>1.00020976174822</v>
      </c>
      <c r="N195" s="113">
        <f t="shared" si="49"/>
        <v>1.0002629753003611</v>
      </c>
      <c r="O195" s="70">
        <f t="shared" si="50"/>
        <v>151886.36333329472</v>
      </c>
      <c r="P195" s="70">
        <f t="shared" si="52"/>
        <v>146270.289584407</v>
      </c>
      <c r="Q195" s="70">
        <f t="shared" si="53"/>
        <v>157502.4370821825</v>
      </c>
      <c r="S195" s="57">
        <v>6.05</v>
      </c>
      <c r="T195" s="57">
        <v>12.65</v>
      </c>
      <c r="AA195" s="197"/>
    </row>
    <row r="196" spans="1:27" ht="15" x14ac:dyDescent="0.3">
      <c r="A196" s="60">
        <v>44705</v>
      </c>
      <c r="B196" s="60">
        <v>44788</v>
      </c>
      <c r="C196" s="54">
        <f t="shared" si="45"/>
        <v>98695.72</v>
      </c>
      <c r="D196" s="54">
        <f t="shared" si="46"/>
        <v>98605.85</v>
      </c>
      <c r="E196" s="54">
        <f t="shared" si="47"/>
        <v>98631.93957332737</v>
      </c>
      <c r="F196" s="115">
        <f t="shared" si="54"/>
        <v>101.9</v>
      </c>
      <c r="G196" s="51">
        <f>NETWORKDAYS(A196,B196-1,Feriados!$A$2:$A$2000)</f>
        <v>58</v>
      </c>
      <c r="H196" s="121">
        <v>5.87</v>
      </c>
      <c r="I196" s="57">
        <v>12.65</v>
      </c>
      <c r="J196" s="53">
        <f t="shared" si="51"/>
        <v>1.0004727922107399</v>
      </c>
      <c r="K196" s="117">
        <f>ROUND(VLOOKUP(A196,'VNA e PRT'!B:G,6,FALSE),2)</f>
        <v>6390.87</v>
      </c>
      <c r="L196" s="117">
        <f>ROUND(VLOOKUP(A196,'VNA e PRT'!B:G,3,FALSE),2)</f>
        <v>0.46</v>
      </c>
      <c r="M196" s="113">
        <f t="shared" si="48"/>
        <v>1.0002081526995701</v>
      </c>
      <c r="N196" s="113">
        <f t="shared" si="49"/>
        <v>1.0002645844372049</v>
      </c>
      <c r="O196" s="70">
        <f t="shared" si="50"/>
        <v>151958.17402279633</v>
      </c>
      <c r="P196" s="70">
        <f t="shared" si="52"/>
        <v>146237.5450379852</v>
      </c>
      <c r="Q196" s="70">
        <f t="shared" si="53"/>
        <v>157678.80300760749</v>
      </c>
      <c r="S196" s="57">
        <v>6.18</v>
      </c>
      <c r="T196" s="57">
        <v>12.65</v>
      </c>
      <c r="AA196" s="197"/>
    </row>
    <row r="197" spans="1:27" ht="15" x14ac:dyDescent="0.3">
      <c r="A197" s="60">
        <v>44706</v>
      </c>
      <c r="B197" s="60">
        <v>44788</v>
      </c>
      <c r="C197" s="54">
        <f t="shared" ref="C197:C254" si="55">+ROUND((100000/(1+H197/100)^(G197/252)),2)</f>
        <v>98623.39</v>
      </c>
      <c r="D197" s="54">
        <f t="shared" ref="D197:D254" si="56">+C196</f>
        <v>98695.72</v>
      </c>
      <c r="E197" s="54">
        <f t="shared" si="47"/>
        <v>98681.236323735662</v>
      </c>
      <c r="F197" s="115">
        <f t="shared" si="54"/>
        <v>-92.47</v>
      </c>
      <c r="G197" s="51">
        <f>NETWORKDAYS(A197,B197-1,Feriados!$A$2:$A$2000)</f>
        <v>57</v>
      </c>
      <c r="H197" s="121">
        <v>6.32</v>
      </c>
      <c r="I197" s="57">
        <v>12.65</v>
      </c>
      <c r="J197" s="53">
        <f t="shared" si="51"/>
        <v>1.0004727922107399</v>
      </c>
      <c r="K197" s="117">
        <f>ROUND(VLOOKUP(A197,'VNA e PRT'!B:G,6,FALSE),2)</f>
        <v>6394.83</v>
      </c>
      <c r="L197" s="117">
        <f>ROUND(VLOOKUP(A197,'VNA e PRT'!B:G,3,FALSE),2)</f>
        <v>0.59</v>
      </c>
      <c r="M197" s="113">
        <f t="shared" si="48"/>
        <v>1.0006196339465501</v>
      </c>
      <c r="N197" s="113">
        <f t="shared" si="49"/>
        <v>0.99985324919596974</v>
      </c>
      <c r="O197" s="70">
        <f t="shared" si="50"/>
        <v>152030.01866383257</v>
      </c>
      <c r="P197" s="70">
        <f t="shared" si="52"/>
        <v>146399.15501019688</v>
      </c>
      <c r="Q197" s="70">
        <f t="shared" si="53"/>
        <v>157660.88231746829</v>
      </c>
      <c r="S197" s="57">
        <v>5.87</v>
      </c>
      <c r="T197" s="57">
        <v>12.65</v>
      </c>
      <c r="AA197" s="197"/>
    </row>
    <row r="198" spans="1:27" ht="15" x14ac:dyDescent="0.3">
      <c r="A198" s="60">
        <v>44707</v>
      </c>
      <c r="B198" s="60">
        <v>44788</v>
      </c>
      <c r="C198" s="54">
        <f t="shared" si="55"/>
        <v>98546.63</v>
      </c>
      <c r="D198" s="54">
        <f t="shared" si="56"/>
        <v>98623.39</v>
      </c>
      <c r="E198" s="54">
        <f t="shared" ref="E198:E254" si="57">D198*N198</f>
        <v>98643.640714635083</v>
      </c>
      <c r="F198" s="115">
        <f t="shared" si="54"/>
        <v>-155.13</v>
      </c>
      <c r="G198" s="51">
        <f>NETWORKDAYS(A198,B198-1,Feriados!$A$2:$A$2000)</f>
        <v>56</v>
      </c>
      <c r="H198" s="121">
        <v>6.81</v>
      </c>
      <c r="I198" s="57">
        <v>12.65</v>
      </c>
      <c r="J198" s="53">
        <f t="shared" si="51"/>
        <v>1.0004727922107399</v>
      </c>
      <c r="K198" s="117">
        <f>ROUND(VLOOKUP(A198,'VNA e PRT'!B:G,6,FALSE),2)</f>
        <v>6396.54</v>
      </c>
      <c r="L198" s="117">
        <f>ROUND(VLOOKUP(A198,'VNA e PRT'!B:G,3,FALSE),2)</f>
        <v>0.59</v>
      </c>
      <c r="M198" s="113">
        <f t="shared" ref="M198:M254" si="58">ROUND(K198/K197,100)</f>
        <v>1.0002674035118999</v>
      </c>
      <c r="N198" s="113">
        <f t="shared" ref="N198:N254" si="59">+J198/M198</f>
        <v>1.000205333791863</v>
      </c>
      <c r="O198" s="70">
        <f t="shared" ref="O198:O254" si="60">+O197*J197</f>
        <v>152101.89727245548</v>
      </c>
      <c r="P198" s="70">
        <f t="shared" si="52"/>
        <v>146623.50139034461</v>
      </c>
      <c r="Q198" s="70">
        <f t="shared" si="53"/>
        <v>157580.29315456637</v>
      </c>
      <c r="S198" s="57">
        <v>6.32</v>
      </c>
      <c r="T198" s="57">
        <v>12.65</v>
      </c>
      <c r="AA198" s="197"/>
    </row>
    <row r="199" spans="1:27" ht="15" x14ac:dyDescent="0.3">
      <c r="A199" s="60">
        <v>44708</v>
      </c>
      <c r="B199" s="60">
        <v>44788</v>
      </c>
      <c r="C199" s="54">
        <f t="shared" si="55"/>
        <v>98413.99</v>
      </c>
      <c r="D199" s="54">
        <f t="shared" si="56"/>
        <v>98546.63</v>
      </c>
      <c r="E199" s="54">
        <f t="shared" si="57"/>
        <v>98566.871997433671</v>
      </c>
      <c r="F199" s="115">
        <f t="shared" si="54"/>
        <v>-244.54</v>
      </c>
      <c r="G199" s="51">
        <f>NETWORKDAYS(A199,B199-1,Feriados!$A$2:$A$2000)</f>
        <v>55</v>
      </c>
      <c r="H199" s="121">
        <v>7.6</v>
      </c>
      <c r="I199" s="57">
        <v>12.65</v>
      </c>
      <c r="J199" s="53">
        <f t="shared" si="51"/>
        <v>1.0004727922107399</v>
      </c>
      <c r="K199" s="117">
        <f>ROUND(VLOOKUP(A199,'VNA e PRT'!B:G,6,FALSE),2)</f>
        <v>6398.25</v>
      </c>
      <c r="L199" s="117">
        <f>ROUND(VLOOKUP(A199,'VNA e PRT'!B:G,3,FALSE),2)</f>
        <v>0.59</v>
      </c>
      <c r="M199" s="113">
        <f t="shared" si="58"/>
        <v>1.00026733202638</v>
      </c>
      <c r="N199" s="113">
        <f t="shared" si="59"/>
        <v>1.0002054052729521</v>
      </c>
      <c r="O199" s="70">
        <f t="shared" si="60"/>
        <v>152173.80986472467</v>
      </c>
      <c r="P199" s="70">
        <f t="shared" si="52"/>
        <v>146937.36383971339</v>
      </c>
      <c r="Q199" s="70">
        <f t="shared" si="53"/>
        <v>157410.25588973597</v>
      </c>
      <c r="S199" s="57">
        <v>6.81</v>
      </c>
      <c r="T199" s="57">
        <v>12.65</v>
      </c>
      <c r="AA199" s="197"/>
    </row>
    <row r="200" spans="1:27" ht="15" x14ac:dyDescent="0.3">
      <c r="A200" s="60">
        <v>44711</v>
      </c>
      <c r="B200" s="60">
        <v>44788</v>
      </c>
      <c r="C200" s="54">
        <f t="shared" si="55"/>
        <v>98419.09</v>
      </c>
      <c r="D200" s="54">
        <f t="shared" si="56"/>
        <v>98413.99</v>
      </c>
      <c r="E200" s="54">
        <f t="shared" si="57"/>
        <v>98434.057979281715</v>
      </c>
      <c r="F200" s="115">
        <f t="shared" si="54"/>
        <v>-23.94</v>
      </c>
      <c r="G200" s="51">
        <f>NETWORKDAYS(A200,B200-1,Feriados!$A$2:$A$2000)</f>
        <v>54</v>
      </c>
      <c r="H200" s="121">
        <v>7.72</v>
      </c>
      <c r="I200" s="57">
        <v>12.65</v>
      </c>
      <c r="J200" s="53">
        <f t="shared" ref="J200:J254" si="61">ROUND(+(1+I200/100)^(1/252),100)</f>
        <v>1.0004727922107399</v>
      </c>
      <c r="K200" s="117">
        <f>ROUND(VLOOKUP(A200,'VNA e PRT'!B:G,6,FALSE),2)</f>
        <v>6399.97</v>
      </c>
      <c r="L200" s="117">
        <f>ROUND(VLOOKUP(A200,'VNA e PRT'!B:G,3,FALSE),2)</f>
        <v>0.59</v>
      </c>
      <c r="M200" s="113">
        <f t="shared" si="58"/>
        <v>1.0002688235064301</v>
      </c>
      <c r="N200" s="113">
        <f t="shared" si="59"/>
        <v>1.0002039138874637</v>
      </c>
      <c r="O200" s="70">
        <f t="shared" si="60"/>
        <v>152245.75645670731</v>
      </c>
      <c r="P200" s="70">
        <f t="shared" ref="P200:P254" si="62">+(P199*J199)-F200</f>
        <v>147030.77468080347</v>
      </c>
      <c r="Q200" s="70">
        <f t="shared" ref="Q200:Q254" si="63">+(Q199*J199)+F200</f>
        <v>157460.73823261121</v>
      </c>
      <c r="S200" s="57">
        <v>7.6</v>
      </c>
      <c r="T200" s="57">
        <v>12.65</v>
      </c>
      <c r="AA200" s="197"/>
    </row>
    <row r="201" spans="1:27" ht="15" x14ac:dyDescent="0.3">
      <c r="A201" s="60">
        <v>44712</v>
      </c>
      <c r="B201" s="60">
        <v>44788</v>
      </c>
      <c r="C201" s="54">
        <f t="shared" si="55"/>
        <v>98413.58</v>
      </c>
      <c r="D201" s="54">
        <f t="shared" si="56"/>
        <v>98419.09</v>
      </c>
      <c r="E201" s="54">
        <f t="shared" si="57"/>
        <v>98439.319900063987</v>
      </c>
      <c r="F201" s="115">
        <f t="shared" si="54"/>
        <v>-41.19</v>
      </c>
      <c r="G201" s="51">
        <f>NETWORKDAYS(A201,B201-1,Feriados!$A$2:$A$2000)</f>
        <v>53</v>
      </c>
      <c r="H201" s="121">
        <v>7.9</v>
      </c>
      <c r="I201" s="57">
        <v>12.65</v>
      </c>
      <c r="J201" s="53">
        <f t="shared" si="61"/>
        <v>1.0004727922107399</v>
      </c>
      <c r="K201" s="117">
        <f>ROUND(VLOOKUP(A201,'VNA e PRT'!B:G,6,FALSE),2)</f>
        <v>6401.68</v>
      </c>
      <c r="L201" s="117">
        <f>ROUND(VLOOKUP(A201,'VNA e PRT'!B:G,3,FALSE),2)</f>
        <v>0.59</v>
      </c>
      <c r="M201" s="113">
        <f t="shared" si="58"/>
        <v>1.0002671887524499</v>
      </c>
      <c r="N201" s="113">
        <f t="shared" si="59"/>
        <v>1.0002055485380326</v>
      </c>
      <c r="O201" s="70">
        <f t="shared" si="60"/>
        <v>152317.73706447825</v>
      </c>
      <c r="P201" s="70">
        <f t="shared" si="62"/>
        <v>147141.47968581162</v>
      </c>
      <c r="Q201" s="70">
        <f t="shared" si="63"/>
        <v>157493.99444314494</v>
      </c>
      <c r="S201" s="57">
        <v>7.72</v>
      </c>
      <c r="T201" s="57">
        <v>12.65</v>
      </c>
      <c r="AA201" s="197"/>
    </row>
    <row r="202" spans="1:27" ht="15" x14ac:dyDescent="0.3">
      <c r="A202" s="60">
        <v>44713</v>
      </c>
      <c r="B202" s="60">
        <v>44788</v>
      </c>
      <c r="C202" s="54">
        <f t="shared" si="55"/>
        <v>98509.3</v>
      </c>
      <c r="D202" s="54">
        <f t="shared" si="56"/>
        <v>98413.58</v>
      </c>
      <c r="E202" s="54">
        <f t="shared" si="57"/>
        <v>98433.81579091122</v>
      </c>
      <c r="F202" s="115">
        <f t="shared" si="54"/>
        <v>120.83</v>
      </c>
      <c r="G202" s="51">
        <f>NETWORKDAYS(A202,B202-1,Feriados!$A$2:$A$2000)</f>
        <v>52</v>
      </c>
      <c r="H202" s="121">
        <v>7.55</v>
      </c>
      <c r="I202" s="57">
        <v>12.65</v>
      </c>
      <c r="J202" s="53">
        <f t="shared" si="61"/>
        <v>1.0004727922107399</v>
      </c>
      <c r="K202" s="117">
        <f>ROUND(VLOOKUP(A202,'VNA e PRT'!B:G,6,FALSE),2)</f>
        <v>6403.39</v>
      </c>
      <c r="L202" s="117">
        <f>ROUND(VLOOKUP(A202,'VNA e PRT'!B:G,3,FALSE),2)</f>
        <v>0.59</v>
      </c>
      <c r="M202" s="113">
        <f t="shared" si="58"/>
        <v>1.0002671173816899</v>
      </c>
      <c r="N202" s="113">
        <f t="shared" si="59"/>
        <v>1.0002056199043996</v>
      </c>
      <c r="O202" s="70">
        <f t="shared" si="60"/>
        <v>152389.75170411987</v>
      </c>
      <c r="P202" s="70">
        <f t="shared" si="62"/>
        <v>147090.21703128383</v>
      </c>
      <c r="Q202" s="70">
        <f t="shared" si="63"/>
        <v>157689.28637695598</v>
      </c>
      <c r="S202" s="57">
        <v>7.9</v>
      </c>
      <c r="T202" s="57">
        <v>12.65</v>
      </c>
      <c r="AA202" s="197"/>
    </row>
    <row r="203" spans="1:27" ht="15" x14ac:dyDescent="0.3">
      <c r="A203" s="60">
        <v>44714</v>
      </c>
      <c r="B203" s="60">
        <v>44788</v>
      </c>
      <c r="C203" s="54">
        <f t="shared" si="55"/>
        <v>98561.88</v>
      </c>
      <c r="D203" s="54">
        <f t="shared" si="56"/>
        <v>98509.3</v>
      </c>
      <c r="E203" s="54">
        <f t="shared" si="57"/>
        <v>98529.562499345368</v>
      </c>
      <c r="F203" s="115">
        <f t="shared" si="54"/>
        <v>51.74</v>
      </c>
      <c r="G203" s="51">
        <f>NETWORKDAYS(A203,B203-1,Feriados!$A$2:$A$2000)</f>
        <v>51</v>
      </c>
      <c r="H203" s="121">
        <v>7.42</v>
      </c>
      <c r="I203" s="57">
        <v>12.65</v>
      </c>
      <c r="J203" s="53">
        <f t="shared" si="61"/>
        <v>1.0004727922107399</v>
      </c>
      <c r="K203" s="117">
        <f>ROUND(VLOOKUP(A203,'VNA e PRT'!B:G,6,FALSE),2)</f>
        <v>6405.1</v>
      </c>
      <c r="L203" s="117">
        <f>ROUND(VLOOKUP(A203,'VNA e PRT'!B:G,3,FALSE),2)</f>
        <v>0.59</v>
      </c>
      <c r="M203" s="113">
        <f t="shared" si="58"/>
        <v>1.0002670460490499</v>
      </c>
      <c r="N203" s="113">
        <f t="shared" si="59"/>
        <v>1.0002056912326589</v>
      </c>
      <c r="O203" s="70">
        <f t="shared" si="60"/>
        <v>152461.80039172218</v>
      </c>
      <c r="P203" s="70">
        <f t="shared" si="62"/>
        <v>147108.02014017227</v>
      </c>
      <c r="Q203" s="70">
        <f t="shared" si="63"/>
        <v>157815.58064327214</v>
      </c>
      <c r="S203" s="57">
        <v>7.55</v>
      </c>
      <c r="T203" s="57">
        <v>12.65</v>
      </c>
      <c r="AA203" s="197"/>
    </row>
    <row r="204" spans="1:27" ht="15" x14ac:dyDescent="0.3">
      <c r="A204" s="60">
        <v>44715</v>
      </c>
      <c r="B204" s="60">
        <v>44788</v>
      </c>
      <c r="C204" s="54">
        <f t="shared" si="55"/>
        <v>98683.01</v>
      </c>
      <c r="D204" s="54">
        <f t="shared" si="56"/>
        <v>98561.88</v>
      </c>
      <c r="E204" s="54">
        <f t="shared" si="57"/>
        <v>98582.16034108575</v>
      </c>
      <c r="F204" s="115">
        <f t="shared" si="54"/>
        <v>161.53</v>
      </c>
      <c r="G204" s="51">
        <f>NETWORKDAYS(A204,B204-1,Feriados!$A$2:$A$2000)</f>
        <v>50</v>
      </c>
      <c r="H204" s="121">
        <v>6.91</v>
      </c>
      <c r="I204" s="57">
        <v>12.65</v>
      </c>
      <c r="J204" s="53">
        <f t="shared" si="61"/>
        <v>1.0004727922107399</v>
      </c>
      <c r="K204" s="117">
        <f>ROUND(VLOOKUP(A204,'VNA e PRT'!B:G,6,FALSE),2)</f>
        <v>6406.81</v>
      </c>
      <c r="L204" s="117">
        <f>ROUND(VLOOKUP(A204,'VNA e PRT'!B:G,3,FALSE),2)</f>
        <v>0.59</v>
      </c>
      <c r="M204" s="113">
        <f t="shared" si="58"/>
        <v>1.0002669747544899</v>
      </c>
      <c r="N204" s="113">
        <f t="shared" si="59"/>
        <v>1.0002057625228511</v>
      </c>
      <c r="O204" s="70">
        <f t="shared" si="60"/>
        <v>152533.88314338276</v>
      </c>
      <c r="P204" s="70">
        <f t="shared" si="62"/>
        <v>147016.04166623193</v>
      </c>
      <c r="Q204" s="70">
        <f t="shared" si="63"/>
        <v>158051.72462053367</v>
      </c>
      <c r="S204" s="57">
        <v>7.42</v>
      </c>
      <c r="T204" s="57">
        <v>12.65</v>
      </c>
      <c r="AA204" s="197"/>
    </row>
    <row r="205" spans="1:27" ht="15" x14ac:dyDescent="0.3">
      <c r="A205" s="60">
        <v>44718</v>
      </c>
      <c r="B205" s="60">
        <v>44788</v>
      </c>
      <c r="C205" s="54">
        <f t="shared" si="55"/>
        <v>98797.39</v>
      </c>
      <c r="D205" s="54">
        <f t="shared" si="56"/>
        <v>98683.01</v>
      </c>
      <c r="E205" s="54">
        <f t="shared" si="57"/>
        <v>98703.168277812088</v>
      </c>
      <c r="F205" s="115">
        <f t="shared" si="54"/>
        <v>150.94999999999999</v>
      </c>
      <c r="G205" s="51">
        <f>NETWORKDAYS(A205,B205-1,Feriados!$A$2:$A$2000)</f>
        <v>49</v>
      </c>
      <c r="H205" s="121">
        <v>6.42</v>
      </c>
      <c r="I205" s="57">
        <v>12.65</v>
      </c>
      <c r="J205" s="53">
        <f t="shared" si="61"/>
        <v>1.0004727922107399</v>
      </c>
      <c r="K205" s="117">
        <f>ROUND(VLOOKUP(A205,'VNA e PRT'!B:G,6,FALSE),2)</f>
        <v>6408.53</v>
      </c>
      <c r="L205" s="117">
        <f>ROUND(VLOOKUP(A205,'VNA e PRT'!B:G,3,FALSE),2)</f>
        <v>0.59</v>
      </c>
      <c r="M205" s="113">
        <f t="shared" si="58"/>
        <v>1.00026846433717</v>
      </c>
      <c r="N205" s="113">
        <f t="shared" si="59"/>
        <v>1.0002042730335454</v>
      </c>
      <c r="O205" s="70">
        <f t="shared" si="60"/>
        <v>152605.99997520685</v>
      </c>
      <c r="P205" s="70">
        <f t="shared" si="62"/>
        <v>146934.59970558554</v>
      </c>
      <c r="Q205" s="70">
        <f t="shared" si="63"/>
        <v>158277.40024482828</v>
      </c>
      <c r="S205" s="57">
        <v>6.91</v>
      </c>
      <c r="T205" s="57">
        <v>12.65</v>
      </c>
      <c r="AA205" s="197"/>
    </row>
    <row r="206" spans="1:27" ht="15" x14ac:dyDescent="0.3">
      <c r="A206" s="60">
        <v>44719</v>
      </c>
      <c r="B206" s="60">
        <v>44788</v>
      </c>
      <c r="C206" s="54">
        <f t="shared" si="55"/>
        <v>98299.88</v>
      </c>
      <c r="D206" s="54">
        <f t="shared" si="56"/>
        <v>98797.39</v>
      </c>
      <c r="E206" s="54">
        <f t="shared" si="57"/>
        <v>98817.732916646026</v>
      </c>
      <c r="F206" s="115">
        <f t="shared" si="54"/>
        <v>-829.89</v>
      </c>
      <c r="G206" s="51">
        <f>NETWORKDAYS(A206,B206-1,Feriados!$A$2:$A$2000)</f>
        <v>48</v>
      </c>
      <c r="H206" s="121">
        <v>9.42</v>
      </c>
      <c r="I206" s="57">
        <v>12.65</v>
      </c>
      <c r="J206" s="53">
        <f t="shared" si="61"/>
        <v>1.0004727922107399</v>
      </c>
      <c r="K206" s="117">
        <f>ROUND(VLOOKUP(A206,'VNA e PRT'!B:G,6,FALSE),2)</f>
        <v>6410.24</v>
      </c>
      <c r="L206" s="117">
        <f>ROUND(VLOOKUP(A206,'VNA e PRT'!B:G,3,FALSE),2)</f>
        <v>0.59</v>
      </c>
      <c r="M206" s="113">
        <f t="shared" si="58"/>
        <v>1.00026683186316</v>
      </c>
      <c r="N206" s="113">
        <f t="shared" si="59"/>
        <v>1.0002059054054568</v>
      </c>
      <c r="O206" s="70">
        <f t="shared" si="60"/>
        <v>152678.15090330731</v>
      </c>
      <c r="P206" s="70">
        <f t="shared" si="62"/>
        <v>147833.95923981455</v>
      </c>
      <c r="Q206" s="70">
        <f t="shared" si="63"/>
        <v>157522.34256680019</v>
      </c>
      <c r="S206" s="57">
        <v>6.42</v>
      </c>
      <c r="T206" s="57">
        <v>12.65</v>
      </c>
      <c r="AA206" s="197"/>
    </row>
    <row r="207" spans="1:27" ht="15" x14ac:dyDescent="0.3">
      <c r="A207" s="60">
        <v>44720</v>
      </c>
      <c r="B207" s="60">
        <v>44788</v>
      </c>
      <c r="C207" s="54">
        <f t="shared" si="55"/>
        <v>98213.13</v>
      </c>
      <c r="D207" s="54">
        <f t="shared" si="56"/>
        <v>98299.88</v>
      </c>
      <c r="E207" s="54">
        <f t="shared" si="57"/>
        <v>98319.974134584889</v>
      </c>
      <c r="F207" s="115">
        <f t="shared" si="54"/>
        <v>-171.27</v>
      </c>
      <c r="G207" s="51">
        <f>NETWORKDAYS(A207,B207-1,Feriados!$A$2:$A$2000)</f>
        <v>47</v>
      </c>
      <c r="H207" s="121">
        <v>10.15</v>
      </c>
      <c r="I207" s="57">
        <v>12.65</v>
      </c>
      <c r="J207" s="53">
        <f t="shared" si="61"/>
        <v>1.0004727922107399</v>
      </c>
      <c r="K207" s="117">
        <f>ROUND(VLOOKUP(A207,'VNA e PRT'!B:G,6,FALSE),2)</f>
        <v>6411.96</v>
      </c>
      <c r="L207" s="117">
        <f>ROUND(VLOOKUP(A207,'VNA e PRT'!B:G,3,FALSE),2)</f>
        <v>0.59</v>
      </c>
      <c r="M207" s="113">
        <f t="shared" si="58"/>
        <v>1.0002683206869001</v>
      </c>
      <c r="N207" s="113">
        <f t="shared" si="59"/>
        <v>1.0002044166746173</v>
      </c>
      <c r="O207" s="70">
        <f t="shared" si="60"/>
        <v>152750.33594380456</v>
      </c>
      <c r="P207" s="70">
        <f t="shared" si="62"/>
        <v>148075.12398422597</v>
      </c>
      <c r="Q207" s="70">
        <f t="shared" si="63"/>
        <v>157425.5479033833</v>
      </c>
      <c r="S207" s="57">
        <v>9.42</v>
      </c>
      <c r="T207" s="57">
        <v>12.65</v>
      </c>
      <c r="AA207" s="197"/>
    </row>
    <row r="208" spans="1:27" ht="15" x14ac:dyDescent="0.3">
      <c r="A208" s="60">
        <v>44721</v>
      </c>
      <c r="B208" s="60">
        <v>44788</v>
      </c>
      <c r="C208" s="54">
        <f t="shared" si="55"/>
        <v>97880.88</v>
      </c>
      <c r="D208" s="54">
        <f t="shared" si="56"/>
        <v>98213.13</v>
      </c>
      <c r="E208" s="54">
        <f t="shared" si="57"/>
        <v>98329.340024836754</v>
      </c>
      <c r="F208" s="115">
        <f t="shared" si="54"/>
        <v>-718.36</v>
      </c>
      <c r="G208" s="51">
        <f>NETWORKDAYS(A208,B208-1,Feriados!$A$2:$A$2000)</f>
        <v>46</v>
      </c>
      <c r="H208" s="121">
        <v>12.45</v>
      </c>
      <c r="I208" s="57">
        <v>12.65</v>
      </c>
      <c r="J208" s="53">
        <f t="shared" si="61"/>
        <v>1.0004727922107399</v>
      </c>
      <c r="K208" s="117">
        <f>ROUND(VLOOKUP(A208,'VNA e PRT'!B:G,6,FALSE),2)</f>
        <v>6407.41</v>
      </c>
      <c r="L208" s="117">
        <f>ROUND(VLOOKUP(A208,'VNA e PRT'!B:G,3,FALSE),2)</f>
        <v>0.47</v>
      </c>
      <c r="M208" s="113">
        <f t="shared" si="58"/>
        <v>0.99929038858632901</v>
      </c>
      <c r="N208" s="113">
        <f t="shared" si="59"/>
        <v>1.0011832432673387</v>
      </c>
      <c r="O208" s="70">
        <f t="shared" si="60"/>
        <v>152822.5551128267</v>
      </c>
      <c r="P208" s="70">
        <f t="shared" si="62"/>
        <v>148863.49274945003</v>
      </c>
      <c r="Q208" s="70">
        <f t="shared" si="63"/>
        <v>156781.61747620351</v>
      </c>
      <c r="S208" s="57">
        <v>10.15</v>
      </c>
      <c r="T208" s="57">
        <v>12.65</v>
      </c>
      <c r="AA208" s="197"/>
    </row>
    <row r="209" spans="1:27" ht="15" x14ac:dyDescent="0.3">
      <c r="A209" s="60">
        <v>44722</v>
      </c>
      <c r="B209" s="60">
        <v>44788</v>
      </c>
      <c r="C209" s="54">
        <f t="shared" si="55"/>
        <v>98045.13</v>
      </c>
      <c r="D209" s="54">
        <f t="shared" si="56"/>
        <v>97880.88</v>
      </c>
      <c r="E209" s="54">
        <f t="shared" si="57"/>
        <v>97906.223504106223</v>
      </c>
      <c r="F209" s="115">
        <f t="shared" si="54"/>
        <v>222.55</v>
      </c>
      <c r="G209" s="51">
        <f>NETWORKDAYS(A209,B209-1,Feriados!$A$2:$A$2000)</f>
        <v>45</v>
      </c>
      <c r="H209" s="121">
        <v>11.69</v>
      </c>
      <c r="I209" s="57">
        <v>12.65</v>
      </c>
      <c r="J209" s="53">
        <f t="shared" si="61"/>
        <v>1.0004727922107399</v>
      </c>
      <c r="K209" s="117">
        <f>ROUND(VLOOKUP(A209,'VNA e PRT'!B:G,6,FALSE),2)</f>
        <v>6408.78</v>
      </c>
      <c r="L209" s="117">
        <f>ROUND(VLOOKUP(A209,'VNA e PRT'!B:G,3,FALSE),2)</f>
        <v>0.47</v>
      </c>
      <c r="M209" s="113">
        <f t="shared" si="58"/>
        <v>1.00021381494239</v>
      </c>
      <c r="N209" s="113">
        <f t="shared" si="59"/>
        <v>1.0002589219069773</v>
      </c>
      <c r="O209" s="70">
        <f t="shared" si="60"/>
        <v>152894.80842650941</v>
      </c>
      <c r="P209" s="70">
        <f t="shared" si="62"/>
        <v>148711.32424928554</v>
      </c>
      <c r="Q209" s="70">
        <f t="shared" si="63"/>
        <v>157078.29260373345</v>
      </c>
      <c r="S209" s="57">
        <v>12.45</v>
      </c>
      <c r="T209" s="57">
        <v>12.65</v>
      </c>
      <c r="AA209" s="197"/>
    </row>
    <row r="210" spans="1:27" ht="15" x14ac:dyDescent="0.3">
      <c r="A210" s="60">
        <v>44725</v>
      </c>
      <c r="B210" s="60">
        <v>44788</v>
      </c>
      <c r="C210" s="54">
        <f t="shared" si="55"/>
        <v>98125</v>
      </c>
      <c r="D210" s="54">
        <f t="shared" si="56"/>
        <v>98045.13</v>
      </c>
      <c r="E210" s="54">
        <f t="shared" si="57"/>
        <v>98070.673506376537</v>
      </c>
      <c r="F210" s="115">
        <f t="shared" si="54"/>
        <v>87.06</v>
      </c>
      <c r="G210" s="51">
        <f>NETWORKDAYS(A210,B210-1,Feriados!$A$2:$A$2000)</f>
        <v>44</v>
      </c>
      <c r="H210" s="121">
        <v>11.45</v>
      </c>
      <c r="I210" s="57">
        <v>12.65</v>
      </c>
      <c r="J210" s="53">
        <f t="shared" si="61"/>
        <v>1.0004727922107399</v>
      </c>
      <c r="K210" s="117">
        <f>ROUND(VLOOKUP(A210,'VNA e PRT'!B:G,6,FALSE),2)</f>
        <v>6410.14</v>
      </c>
      <c r="L210" s="117">
        <f>ROUND(VLOOKUP(A210,'VNA e PRT'!B:G,3,FALSE),2)</f>
        <v>0.47</v>
      </c>
      <c r="M210" s="113">
        <f t="shared" si="58"/>
        <v>1.00021220887595</v>
      </c>
      <c r="N210" s="113">
        <f t="shared" si="59"/>
        <v>1.0002605280484256</v>
      </c>
      <c r="O210" s="70">
        <f t="shared" si="60"/>
        <v>152967.09590099604</v>
      </c>
      <c r="P210" s="70">
        <f t="shared" si="62"/>
        <v>148694.57380503943</v>
      </c>
      <c r="Q210" s="70">
        <f t="shared" si="63"/>
        <v>157239.61799695282</v>
      </c>
      <c r="S210" s="57">
        <v>11.69</v>
      </c>
      <c r="T210" s="57">
        <v>12.65</v>
      </c>
      <c r="AA210" s="197"/>
    </row>
    <row r="211" spans="1:27" ht="15" x14ac:dyDescent="0.3">
      <c r="A211" s="60">
        <v>44726</v>
      </c>
      <c r="B211" s="60">
        <v>44788</v>
      </c>
      <c r="C211" s="54">
        <f t="shared" si="55"/>
        <v>98011.76</v>
      </c>
      <c r="D211" s="54">
        <f t="shared" si="56"/>
        <v>98125</v>
      </c>
      <c r="E211" s="54">
        <f t="shared" si="57"/>
        <v>98150.415647902249</v>
      </c>
      <c r="F211" s="115">
        <f t="shared" si="54"/>
        <v>-222.24</v>
      </c>
      <c r="G211" s="51">
        <f>NETWORKDAYS(A211,B211-1,Feriados!$A$2:$A$2000)</f>
        <v>43</v>
      </c>
      <c r="H211" s="121">
        <v>12.49</v>
      </c>
      <c r="I211" s="57">
        <v>12.65</v>
      </c>
      <c r="J211" s="53">
        <f t="shared" si="61"/>
        <v>1.0004727922107399</v>
      </c>
      <c r="K211" s="117">
        <f>ROUND(VLOOKUP(A211,'VNA e PRT'!B:G,6,FALSE),2)</f>
        <v>6411.51</v>
      </c>
      <c r="L211" s="117">
        <f>ROUND(VLOOKUP(A211,'VNA e PRT'!B:G,3,FALSE),2)</f>
        <v>0.47</v>
      </c>
      <c r="M211" s="113">
        <f t="shared" si="58"/>
        <v>1.0002137238812301</v>
      </c>
      <c r="N211" s="113">
        <f t="shared" si="59"/>
        <v>1.0002590129722522</v>
      </c>
      <c r="O211" s="70">
        <f t="shared" si="60"/>
        <v>153039.41755243755</v>
      </c>
      <c r="P211" s="70">
        <f t="shared" si="62"/>
        <v>148987.11544131374</v>
      </c>
      <c r="Q211" s="70">
        <f t="shared" si="63"/>
        <v>157091.7196635615</v>
      </c>
      <c r="S211" s="57">
        <v>11.45</v>
      </c>
      <c r="T211" s="57">
        <v>12.65</v>
      </c>
      <c r="AA211" s="197"/>
    </row>
    <row r="212" spans="1:27" ht="15" x14ac:dyDescent="0.3">
      <c r="A212" s="60">
        <v>44727</v>
      </c>
      <c r="B212" s="60">
        <v>44788</v>
      </c>
      <c r="C212" s="54">
        <f t="shared" si="55"/>
        <v>98172.79</v>
      </c>
      <c r="D212" s="54">
        <f t="shared" si="56"/>
        <v>98011.76</v>
      </c>
      <c r="E212" s="54">
        <f t="shared" si="57"/>
        <v>98037.150793490931</v>
      </c>
      <c r="F212" s="115">
        <f t="shared" si="54"/>
        <v>217.45</v>
      </c>
      <c r="G212" s="51">
        <f>NETWORKDAYS(A212,B212-1,Feriados!$A$2:$A$2000)</f>
        <v>42</v>
      </c>
      <c r="H212" s="121">
        <v>11.7</v>
      </c>
      <c r="I212" s="57">
        <v>12.65</v>
      </c>
      <c r="J212" s="53">
        <f t="shared" si="61"/>
        <v>1.0004727922107399</v>
      </c>
      <c r="K212" s="117">
        <f>ROUND(VLOOKUP(A212,'VNA e PRT'!B:G,6,FALSE),2)</f>
        <v>6412.88</v>
      </c>
      <c r="L212" s="117">
        <f>ROUND(VLOOKUP(A212,'VNA e PRT'!B:G,3,FALSE),2)</f>
        <v>0.47</v>
      </c>
      <c r="M212" s="113">
        <f t="shared" si="58"/>
        <v>1.0002136782130899</v>
      </c>
      <c r="N212" s="113">
        <f t="shared" si="59"/>
        <v>1.0002590586424622</v>
      </c>
      <c r="O212" s="70">
        <f t="shared" si="60"/>
        <v>153111.7733969925</v>
      </c>
      <c r="P212" s="70">
        <f t="shared" si="62"/>
        <v>148840.105388995</v>
      </c>
      <c r="Q212" s="70">
        <f t="shared" si="63"/>
        <v>157383.44140499018</v>
      </c>
      <c r="S212" s="57">
        <v>12.49</v>
      </c>
      <c r="T212" s="57">
        <v>12.65</v>
      </c>
      <c r="AA212" s="197"/>
    </row>
    <row r="213" spans="1:27" ht="15" x14ac:dyDescent="0.3">
      <c r="A213" s="60">
        <v>44729</v>
      </c>
      <c r="B213" s="60">
        <v>44788</v>
      </c>
      <c r="C213" s="54">
        <f t="shared" si="55"/>
        <v>98117.55</v>
      </c>
      <c r="D213" s="54">
        <f t="shared" si="56"/>
        <v>98172.79</v>
      </c>
      <c r="E213" s="54">
        <f t="shared" si="57"/>
        <v>98189.501416927029</v>
      </c>
      <c r="F213" s="115">
        <f t="shared" si="54"/>
        <v>-115.38</v>
      </c>
      <c r="G213" s="51">
        <f>NETWORKDAYS(A213,B213-1,Feriados!$A$2:$A$2000)</f>
        <v>41</v>
      </c>
      <c r="H213" s="121">
        <v>12.39</v>
      </c>
      <c r="I213" s="57">
        <v>12.65</v>
      </c>
      <c r="J213" s="53">
        <f t="shared" si="61"/>
        <v>1.0004727922107399</v>
      </c>
      <c r="K213" s="117">
        <f>ROUND(VLOOKUP(A213,'VNA e PRT'!B:G,6,FALSE),2)</f>
        <v>6414.82</v>
      </c>
      <c r="L213" s="117">
        <f>ROUND(VLOOKUP(A213,'VNA e PRT'!B:G,3,FALSE),2)</f>
        <v>0.64</v>
      </c>
      <c r="M213" s="113">
        <f t="shared" si="58"/>
        <v>1.00030251618618</v>
      </c>
      <c r="N213" s="113">
        <f t="shared" si="59"/>
        <v>1.0001702245288846</v>
      </c>
      <c r="O213" s="70">
        <f t="shared" si="60"/>
        <v>153184.16345082718</v>
      </c>
      <c r="P213" s="70">
        <f t="shared" si="62"/>
        <v>149025.85583146862</v>
      </c>
      <c r="Q213" s="70">
        <f t="shared" si="63"/>
        <v>157342.47107018591</v>
      </c>
      <c r="S213" s="57">
        <v>11.7</v>
      </c>
      <c r="T213" s="57">
        <v>12.65</v>
      </c>
      <c r="AA213" s="197"/>
    </row>
    <row r="214" spans="1:27" ht="15" x14ac:dyDescent="0.3">
      <c r="A214" s="60">
        <v>44732</v>
      </c>
      <c r="B214" s="60">
        <v>44788</v>
      </c>
      <c r="C214" s="54">
        <f t="shared" si="55"/>
        <v>98233.93</v>
      </c>
      <c r="D214" s="54">
        <f t="shared" si="56"/>
        <v>98117.55</v>
      </c>
      <c r="E214" s="54">
        <f t="shared" si="57"/>
        <v>98135.832701350329</v>
      </c>
      <c r="F214" s="115">
        <f t="shared" si="54"/>
        <v>157.36000000000001</v>
      </c>
      <c r="G214" s="51">
        <f>NETWORKDAYS(A214,B214-1,Feriados!$A$2:$A$2000)</f>
        <v>40</v>
      </c>
      <c r="H214" s="121">
        <v>11.88</v>
      </c>
      <c r="I214" s="57">
        <v>13.15</v>
      </c>
      <c r="J214" s="53">
        <f t="shared" si="61"/>
        <v>1.00049037490119</v>
      </c>
      <c r="K214" s="117">
        <f>ROUND(VLOOKUP(A214,'VNA e PRT'!B:G,6,FALSE),2)</f>
        <v>6416.77</v>
      </c>
      <c r="L214" s="117">
        <f>ROUND(VLOOKUP(A214,'VNA e PRT'!B:G,3,FALSE),2)</f>
        <v>0.64</v>
      </c>
      <c r="M214" s="113">
        <f t="shared" si="58"/>
        <v>1.0003039835880001</v>
      </c>
      <c r="N214" s="113">
        <f t="shared" si="59"/>
        <v>1.0001863346705082</v>
      </c>
      <c r="O214" s="70">
        <f t="shared" si="60"/>
        <v>153256.58773011545</v>
      </c>
      <c r="P214" s="70">
        <f t="shared" si="62"/>
        <v>148938.95409530459</v>
      </c>
      <c r="Q214" s="70">
        <f t="shared" si="63"/>
        <v>157574.22136492646</v>
      </c>
      <c r="S214" s="57">
        <v>12.39</v>
      </c>
      <c r="T214" s="57">
        <v>13.15</v>
      </c>
      <c r="AA214" s="197"/>
    </row>
    <row r="215" spans="1:27" ht="15" x14ac:dyDescent="0.3">
      <c r="A215" s="60">
        <v>44733</v>
      </c>
      <c r="B215" s="60">
        <v>44788</v>
      </c>
      <c r="C215" s="54">
        <f t="shared" si="55"/>
        <v>98213.96</v>
      </c>
      <c r="D215" s="54">
        <f t="shared" si="56"/>
        <v>98233.93</v>
      </c>
      <c r="E215" s="54">
        <f t="shared" si="57"/>
        <v>98252.243460560916</v>
      </c>
      <c r="F215" s="115">
        <f t="shared" si="54"/>
        <v>-61.43</v>
      </c>
      <c r="G215" s="51">
        <f>NETWORKDAYS(A215,B215-1,Feriados!$A$2:$A$2000)</f>
        <v>39</v>
      </c>
      <c r="H215" s="121">
        <v>12.35</v>
      </c>
      <c r="I215" s="57">
        <v>13.15</v>
      </c>
      <c r="J215" s="53">
        <f t="shared" si="61"/>
        <v>1.00049037490119</v>
      </c>
      <c r="K215" s="117">
        <f>ROUND(VLOOKUP(A215,'VNA e PRT'!B:G,6,FALSE),2)</f>
        <v>6418.72</v>
      </c>
      <c r="L215" s="117">
        <f>ROUND(VLOOKUP(A215,'VNA e PRT'!B:G,3,FALSE),2)</f>
        <v>0.64</v>
      </c>
      <c r="M215" s="113">
        <f t="shared" si="58"/>
        <v>1.0003038912100599</v>
      </c>
      <c r="N215" s="113">
        <f t="shared" si="59"/>
        <v>1.000186427037592</v>
      </c>
      <c r="O215" s="70">
        <f t="shared" si="60"/>
        <v>153331.74091418032</v>
      </c>
      <c r="P215" s="70">
        <f t="shared" si="62"/>
        <v>149073.42002020241</v>
      </c>
      <c r="Q215" s="70">
        <f t="shared" si="63"/>
        <v>157590.06180815838</v>
      </c>
      <c r="S215" s="57">
        <v>11.88</v>
      </c>
      <c r="T215" s="57">
        <v>13.15</v>
      </c>
      <c r="AA215" s="197"/>
    </row>
    <row r="216" spans="1:27" ht="15" x14ac:dyDescent="0.3">
      <c r="A216" s="60">
        <v>44734</v>
      </c>
      <c r="B216" s="60">
        <v>44788</v>
      </c>
      <c r="C216" s="54">
        <f t="shared" si="55"/>
        <v>98189.65</v>
      </c>
      <c r="D216" s="54">
        <f t="shared" si="56"/>
        <v>98213.96</v>
      </c>
      <c r="E216" s="54">
        <f t="shared" si="57"/>
        <v>98232.27880383961</v>
      </c>
      <c r="F216" s="115">
        <f t="shared" si="54"/>
        <v>-68.42</v>
      </c>
      <c r="G216" s="51">
        <f>NETWORKDAYS(A216,B216-1,Feriados!$A$2:$A$2000)</f>
        <v>38</v>
      </c>
      <c r="H216" s="121">
        <v>12.88</v>
      </c>
      <c r="I216" s="57">
        <v>13.15</v>
      </c>
      <c r="J216" s="53">
        <f t="shared" si="61"/>
        <v>1.00049037490119</v>
      </c>
      <c r="K216" s="117">
        <f>ROUND(VLOOKUP(A216,'VNA e PRT'!B:G,6,FALSE),2)</f>
        <v>6420.67</v>
      </c>
      <c r="L216" s="117">
        <f>ROUND(VLOOKUP(A216,'VNA e PRT'!B:G,3,FALSE),2)</f>
        <v>0.64</v>
      </c>
      <c r="M216" s="113">
        <f t="shared" si="58"/>
        <v>1.0003037988882499</v>
      </c>
      <c r="N216" s="113">
        <f t="shared" si="59"/>
        <v>1.0001865193485693</v>
      </c>
      <c r="O216" s="70">
        <f t="shared" si="60"/>
        <v>153406.9309514804</v>
      </c>
      <c r="P216" s="70">
        <f t="shared" si="62"/>
        <v>149214.94188381487</v>
      </c>
      <c r="Q216" s="70">
        <f t="shared" si="63"/>
        <v>157598.92001914605</v>
      </c>
      <c r="S216" s="57">
        <v>12.35</v>
      </c>
      <c r="T216" s="57">
        <v>13.15</v>
      </c>
      <c r="AA216" s="197"/>
    </row>
    <row r="217" spans="1:27" ht="15" x14ac:dyDescent="0.3">
      <c r="A217" s="60">
        <v>44735</v>
      </c>
      <c r="B217" s="60">
        <v>44788</v>
      </c>
      <c r="C217" s="54">
        <f t="shared" si="55"/>
        <v>98294.5</v>
      </c>
      <c r="D217" s="54">
        <f t="shared" si="56"/>
        <v>98189.65</v>
      </c>
      <c r="E217" s="54">
        <f t="shared" si="57"/>
        <v>98207.973328032618</v>
      </c>
      <c r="F217" s="115">
        <f t="shared" si="54"/>
        <v>138.93</v>
      </c>
      <c r="G217" s="51">
        <f>NETWORKDAYS(A217,B217-1,Feriados!$A$2:$A$2000)</f>
        <v>37</v>
      </c>
      <c r="H217" s="121">
        <v>12.43</v>
      </c>
      <c r="I217" s="57">
        <v>13.15</v>
      </c>
      <c r="J217" s="53">
        <f t="shared" si="61"/>
        <v>1.00049037490119</v>
      </c>
      <c r="K217" s="117">
        <f>ROUND(VLOOKUP(A217,'VNA e PRT'!B:G,6,FALSE),2)</f>
        <v>6422.62</v>
      </c>
      <c r="L217" s="117">
        <f>ROUND(VLOOKUP(A217,'VNA e PRT'!B:G,3,FALSE),2)</f>
        <v>0.64</v>
      </c>
      <c r="M217" s="113">
        <f t="shared" si="58"/>
        <v>1.00030370662252</v>
      </c>
      <c r="N217" s="113">
        <f t="shared" si="59"/>
        <v>1.0001866116034901</v>
      </c>
      <c r="O217" s="70">
        <f t="shared" si="60"/>
        <v>153482.15786008758</v>
      </c>
      <c r="P217" s="70">
        <f t="shared" si="62"/>
        <v>149149.18314619723</v>
      </c>
      <c r="Q217" s="70">
        <f t="shared" si="63"/>
        <v>157815.13257397807</v>
      </c>
      <c r="S217" s="57">
        <v>12.88</v>
      </c>
      <c r="T217" s="57">
        <v>13.15</v>
      </c>
      <c r="AA217" s="197"/>
    </row>
    <row r="218" spans="1:27" ht="15" x14ac:dyDescent="0.3">
      <c r="A218" s="60">
        <v>44736</v>
      </c>
      <c r="B218" s="60">
        <v>44788</v>
      </c>
      <c r="C218" s="54">
        <f t="shared" si="55"/>
        <v>98512.6</v>
      </c>
      <c r="D218" s="54">
        <f t="shared" si="56"/>
        <v>98294.5</v>
      </c>
      <c r="E218" s="54">
        <f t="shared" si="57"/>
        <v>98312.698930791084</v>
      </c>
      <c r="F218" s="115">
        <f t="shared" si="54"/>
        <v>321.07</v>
      </c>
      <c r="G218" s="51">
        <f>NETWORKDAYS(A218,B218-1,Feriados!$A$2:$A$2000)</f>
        <v>36</v>
      </c>
      <c r="H218" s="121">
        <v>11.06</v>
      </c>
      <c r="I218" s="57">
        <v>13.15</v>
      </c>
      <c r="J218" s="53">
        <f t="shared" si="61"/>
        <v>1.00049037490119</v>
      </c>
      <c r="K218" s="117">
        <f>ROUND(VLOOKUP(A218,'VNA e PRT'!B:G,6,FALSE),2)</f>
        <v>6424.58</v>
      </c>
      <c r="L218" s="117">
        <f>ROUND(VLOOKUP(A218,'VNA e PRT'!B:G,3,FALSE),2)</f>
        <v>0.64</v>
      </c>
      <c r="M218" s="113">
        <f t="shared" si="58"/>
        <v>1.0003051714097999</v>
      </c>
      <c r="N218" s="113">
        <f t="shared" si="59"/>
        <v>1.0001851469898222</v>
      </c>
      <c r="O218" s="70">
        <f t="shared" si="60"/>
        <v>153557.42165808263</v>
      </c>
      <c r="P218" s="70">
        <f t="shared" si="62"/>
        <v>148901.2521621451</v>
      </c>
      <c r="Q218" s="70">
        <f t="shared" si="63"/>
        <v>158213.59115402034</v>
      </c>
      <c r="S218" s="57">
        <v>12.43</v>
      </c>
      <c r="T218" s="57">
        <v>13.15</v>
      </c>
      <c r="AA218" s="197"/>
    </row>
    <row r="219" spans="1:27" ht="15" x14ac:dyDescent="0.3">
      <c r="A219" s="60">
        <v>44739</v>
      </c>
      <c r="B219" s="60">
        <v>44788</v>
      </c>
      <c r="C219" s="54">
        <f t="shared" si="55"/>
        <v>98189.45</v>
      </c>
      <c r="D219" s="54">
        <f t="shared" si="56"/>
        <v>98512.6</v>
      </c>
      <c r="E219" s="54">
        <f t="shared" si="57"/>
        <v>98501.726546844468</v>
      </c>
      <c r="F219" s="115">
        <f t="shared" si="54"/>
        <v>-501.86</v>
      </c>
      <c r="G219" s="51">
        <f>NETWORKDAYS(A219,B219-1,Feriados!$A$2:$A$2000)</f>
        <v>35</v>
      </c>
      <c r="H219" s="121">
        <v>14.06</v>
      </c>
      <c r="I219" s="57">
        <v>13.15</v>
      </c>
      <c r="J219" s="53">
        <f t="shared" si="61"/>
        <v>1.00049037490119</v>
      </c>
      <c r="K219" s="117">
        <f>ROUND(VLOOKUP(A219,'VNA e PRT'!B:G,6,FALSE),2)</f>
        <v>6428.44</v>
      </c>
      <c r="L219" s="117">
        <f>ROUND(VLOOKUP(A219,'VNA e PRT'!B:G,3,FALSE),2)</f>
        <v>0.73</v>
      </c>
      <c r="M219" s="113">
        <f t="shared" si="58"/>
        <v>1.00060081748535</v>
      </c>
      <c r="N219" s="113">
        <f t="shared" si="59"/>
        <v>0.99988962373183188</v>
      </c>
      <c r="O219" s="70">
        <f t="shared" si="60"/>
        <v>153632.72236355519</v>
      </c>
      <c r="P219" s="70">
        <f t="shared" si="62"/>
        <v>149476.12959896115</v>
      </c>
      <c r="Q219" s="70">
        <f t="shared" si="63"/>
        <v>157789.31512814941</v>
      </c>
      <c r="S219" s="57">
        <v>11.06</v>
      </c>
      <c r="T219" s="57">
        <v>13.15</v>
      </c>
      <c r="AA219" s="197"/>
    </row>
    <row r="220" spans="1:27" ht="15" x14ac:dyDescent="0.3">
      <c r="A220" s="60">
        <v>44740</v>
      </c>
      <c r="B220" s="60">
        <v>44788</v>
      </c>
      <c r="C220" s="54">
        <f t="shared" si="55"/>
        <v>98165.43</v>
      </c>
      <c r="D220" s="54">
        <f t="shared" si="56"/>
        <v>98189.45</v>
      </c>
      <c r="E220" s="54">
        <f t="shared" si="57"/>
        <v>98203.533230845816</v>
      </c>
      <c r="F220" s="115">
        <f t="shared" si="54"/>
        <v>-61.25</v>
      </c>
      <c r="G220" s="51">
        <f>NETWORKDAYS(A220,B220-1,Feriados!$A$2:$A$2000)</f>
        <v>34</v>
      </c>
      <c r="H220" s="121">
        <v>14.71</v>
      </c>
      <c r="I220" s="57">
        <v>13.15</v>
      </c>
      <c r="J220" s="53">
        <f t="shared" si="61"/>
        <v>1.00049037490119</v>
      </c>
      <c r="K220" s="117">
        <f>ROUND(VLOOKUP(A220,'VNA e PRT'!B:G,6,FALSE),2)</f>
        <v>6430.67</v>
      </c>
      <c r="L220" s="117">
        <f>ROUND(VLOOKUP(A220,'VNA e PRT'!B:G,3,FALSE),2)</f>
        <v>0.73</v>
      </c>
      <c r="M220" s="113">
        <f t="shared" si="58"/>
        <v>1.00034689598098</v>
      </c>
      <c r="N220" s="113">
        <f t="shared" si="59"/>
        <v>1.0001434291652089</v>
      </c>
      <c r="O220" s="70">
        <f t="shared" si="60"/>
        <v>153708.05999460377</v>
      </c>
      <c r="P220" s="70">
        <f t="shared" si="62"/>
        <v>149610.6789412435</v>
      </c>
      <c r="Q220" s="70">
        <f t="shared" si="63"/>
        <v>157805.44104796421</v>
      </c>
      <c r="S220" s="57">
        <v>14.06</v>
      </c>
      <c r="T220" s="57">
        <v>13.15</v>
      </c>
      <c r="AA220" s="197"/>
    </row>
    <row r="221" spans="1:27" ht="15" x14ac:dyDescent="0.3">
      <c r="A221" s="60">
        <v>44741</v>
      </c>
      <c r="B221" s="60">
        <v>44788</v>
      </c>
      <c r="C221" s="54">
        <f t="shared" si="55"/>
        <v>98171.91</v>
      </c>
      <c r="D221" s="54">
        <f t="shared" si="56"/>
        <v>98165.43</v>
      </c>
      <c r="E221" s="54">
        <f t="shared" si="57"/>
        <v>98179.521592096062</v>
      </c>
      <c r="F221" s="115">
        <f t="shared" si="54"/>
        <v>-12.24</v>
      </c>
      <c r="G221" s="51">
        <f>NETWORKDAYS(A221,B221-1,Feriados!$A$2:$A$2000)</f>
        <v>33</v>
      </c>
      <c r="H221" s="121">
        <v>15.13</v>
      </c>
      <c r="I221" s="57">
        <v>13.15</v>
      </c>
      <c r="J221" s="53">
        <f t="shared" si="61"/>
        <v>1.00049037490119</v>
      </c>
      <c r="K221" s="117">
        <f>ROUND(VLOOKUP(A221,'VNA e PRT'!B:G,6,FALSE),2)</f>
        <v>6432.9</v>
      </c>
      <c r="L221" s="117">
        <f>ROUND(VLOOKUP(A221,'VNA e PRT'!B:G,3,FALSE),2)</f>
        <v>0.73</v>
      </c>
      <c r="M221" s="113">
        <f t="shared" si="58"/>
        <v>1.0003467756858899</v>
      </c>
      <c r="N221" s="113">
        <f t="shared" si="59"/>
        <v>1.0001435494358459</v>
      </c>
      <c r="O221" s="70">
        <f t="shared" si="60"/>
        <v>153783.43456933572</v>
      </c>
      <c r="P221" s="70">
        <f t="shared" si="62"/>
        <v>149696.28426314628</v>
      </c>
      <c r="Q221" s="70">
        <f t="shared" si="63"/>
        <v>157870.58487552535</v>
      </c>
      <c r="S221" s="57">
        <v>14.71</v>
      </c>
      <c r="T221" s="57">
        <v>13.15</v>
      </c>
      <c r="AA221" s="197"/>
    </row>
    <row r="222" spans="1:27" ht="15" x14ac:dyDescent="0.3">
      <c r="A222" s="60">
        <v>44742</v>
      </c>
      <c r="B222" s="60">
        <v>44788</v>
      </c>
      <c r="C222" s="54">
        <f t="shared" si="55"/>
        <v>98260.44</v>
      </c>
      <c r="D222" s="54">
        <f t="shared" si="56"/>
        <v>98171.91</v>
      </c>
      <c r="E222" s="54">
        <f t="shared" si="57"/>
        <v>98186.014321311537</v>
      </c>
      <c r="F222" s="115">
        <f t="shared" si="54"/>
        <v>119.73</v>
      </c>
      <c r="G222" s="51">
        <f>NETWORKDAYS(A222,B222-1,Feriados!$A$2:$A$2000)</f>
        <v>32</v>
      </c>
      <c r="H222" s="121">
        <v>14.82</v>
      </c>
      <c r="I222" s="57">
        <v>13.15</v>
      </c>
      <c r="J222" s="53">
        <f t="shared" si="61"/>
        <v>1.00049037490119</v>
      </c>
      <c r="K222" s="117">
        <f>ROUND(VLOOKUP(A222,'VNA e PRT'!B:G,6,FALSE),2)</f>
        <v>6435.13</v>
      </c>
      <c r="L222" s="117">
        <f>ROUND(VLOOKUP(A222,'VNA e PRT'!B:G,3,FALSE),2)</f>
        <v>0.73</v>
      </c>
      <c r="M222" s="113">
        <f t="shared" si="58"/>
        <v>1.0003466554742</v>
      </c>
      <c r="N222" s="113">
        <f t="shared" si="59"/>
        <v>1.0001436696231287</v>
      </c>
      <c r="O222" s="70">
        <f t="shared" si="60"/>
        <v>153858.8461058673</v>
      </c>
      <c r="P222" s="70">
        <f t="shared" si="62"/>
        <v>149649.96156375032</v>
      </c>
      <c r="Q222" s="70">
        <f t="shared" si="63"/>
        <v>158067.73064798451</v>
      </c>
      <c r="S222" s="57">
        <v>15.13</v>
      </c>
      <c r="T222" s="57">
        <v>13.15</v>
      </c>
      <c r="AA222" s="197"/>
    </row>
    <row r="223" spans="1:27" ht="15" x14ac:dyDescent="0.3">
      <c r="A223" s="60">
        <v>44743</v>
      </c>
      <c r="B223" s="60">
        <v>44788</v>
      </c>
      <c r="C223" s="54">
        <f t="shared" si="55"/>
        <v>97951.86</v>
      </c>
      <c r="D223" s="54">
        <f t="shared" si="56"/>
        <v>98260.44</v>
      </c>
      <c r="E223" s="54">
        <f t="shared" si="57"/>
        <v>98274.721504937523</v>
      </c>
      <c r="F223" s="115">
        <f t="shared" si="54"/>
        <v>-519.59</v>
      </c>
      <c r="G223" s="51">
        <f>NETWORKDAYS(A223,B223-1,Feriados!$A$2:$A$2000)</f>
        <v>31</v>
      </c>
      <c r="H223" s="121">
        <v>18.32</v>
      </c>
      <c r="I223" s="57">
        <v>13.15</v>
      </c>
      <c r="J223" s="53">
        <f t="shared" si="61"/>
        <v>1.00049037490119</v>
      </c>
      <c r="K223" s="117">
        <f>ROUND(VLOOKUP(A223,'VNA e PRT'!B:G,6,FALSE),2)</f>
        <v>6437.35</v>
      </c>
      <c r="L223" s="117">
        <f>ROUND(VLOOKUP(A223,'VNA e PRT'!B:G,3,FALSE),2)</f>
        <v>0.73</v>
      </c>
      <c r="M223" s="113">
        <f t="shared" si="58"/>
        <v>1.00034498137567</v>
      </c>
      <c r="N223" s="113">
        <f t="shared" si="59"/>
        <v>1.0001453433847591</v>
      </c>
      <c r="O223" s="70">
        <f t="shared" si="60"/>
        <v>153934.29462232368</v>
      </c>
      <c r="P223" s="70">
        <f t="shared" si="62"/>
        <v>150242.93614886521</v>
      </c>
      <c r="Q223" s="70">
        <f t="shared" si="63"/>
        <v>157625.65309578236</v>
      </c>
      <c r="S223" s="57">
        <v>14.82</v>
      </c>
      <c r="T223" s="57">
        <v>13.15</v>
      </c>
      <c r="AA223" s="197"/>
    </row>
    <row r="224" spans="1:27" ht="15" x14ac:dyDescent="0.3">
      <c r="A224" s="60">
        <v>44746</v>
      </c>
      <c r="B224" s="60">
        <v>44788</v>
      </c>
      <c r="C224" s="54">
        <f t="shared" si="55"/>
        <v>97771.66</v>
      </c>
      <c r="D224" s="54">
        <f t="shared" si="56"/>
        <v>97951.86</v>
      </c>
      <c r="E224" s="54">
        <f t="shared" si="57"/>
        <v>97965.956174784777</v>
      </c>
      <c r="F224" s="115">
        <f t="shared" si="54"/>
        <v>-312.79000000000002</v>
      </c>
      <c r="G224" s="51">
        <f>NETWORKDAYS(A224,B224-1,Feriados!$A$2:$A$2000)</f>
        <v>30</v>
      </c>
      <c r="H224" s="121">
        <v>20.84</v>
      </c>
      <c r="I224" s="57">
        <v>13.15</v>
      </c>
      <c r="J224" s="53">
        <f t="shared" si="61"/>
        <v>1.00049037490119</v>
      </c>
      <c r="K224" s="117">
        <f>ROUND(VLOOKUP(A224,'VNA e PRT'!B:G,6,FALSE),2)</f>
        <v>6439.58</v>
      </c>
      <c r="L224" s="117">
        <f>ROUND(VLOOKUP(A224,'VNA e PRT'!B:G,3,FALSE),2)</f>
        <v>0.73</v>
      </c>
      <c r="M224" s="113">
        <f t="shared" si="58"/>
        <v>1.00034641583882</v>
      </c>
      <c r="N224" s="113">
        <f t="shared" si="59"/>
        <v>1.0001439092099402</v>
      </c>
      <c r="O224" s="70">
        <f t="shared" si="60"/>
        <v>154009.78013683885</v>
      </c>
      <c r="P224" s="70">
        <f t="shared" si="62"/>
        <v>150629.4015138337</v>
      </c>
      <c r="Q224" s="70">
        <f t="shared" si="63"/>
        <v>157390.1587598442</v>
      </c>
      <c r="S224" s="57">
        <v>18.32</v>
      </c>
      <c r="T224" s="57">
        <v>13.15</v>
      </c>
      <c r="AA224" s="197"/>
    </row>
    <row r="225" spans="1:27" ht="15" x14ac:dyDescent="0.3">
      <c r="A225" s="60">
        <v>44747</v>
      </c>
      <c r="B225" s="60">
        <v>44788</v>
      </c>
      <c r="C225" s="54">
        <f t="shared" si="55"/>
        <v>97721.04</v>
      </c>
      <c r="D225" s="54">
        <f t="shared" si="56"/>
        <v>97771.66</v>
      </c>
      <c r="E225" s="54">
        <f t="shared" si="57"/>
        <v>97785.590170578216</v>
      </c>
      <c r="F225" s="115">
        <f t="shared" si="54"/>
        <v>-103.95</v>
      </c>
      <c r="G225" s="51">
        <f>NETWORKDAYS(A225,B225-1,Feriados!$A$2:$A$2000)</f>
        <v>29</v>
      </c>
      <c r="H225" s="121">
        <v>22.18</v>
      </c>
      <c r="I225" s="57">
        <v>13.15</v>
      </c>
      <c r="J225" s="53">
        <f t="shared" si="61"/>
        <v>1.00049037490119</v>
      </c>
      <c r="K225" s="117">
        <f>ROUND(VLOOKUP(A225,'VNA e PRT'!B:G,6,FALSE),2)</f>
        <v>6441.82</v>
      </c>
      <c r="L225" s="117">
        <f>ROUND(VLOOKUP(A225,'VNA e PRT'!B:G,3,FALSE),2)</f>
        <v>0.73</v>
      </c>
      <c r="M225" s="113">
        <f t="shared" si="58"/>
        <v>1.00034784877275</v>
      </c>
      <c r="N225" s="113">
        <f t="shared" si="59"/>
        <v>1.0001424765681406</v>
      </c>
      <c r="O225" s="70">
        <f t="shared" si="60"/>
        <v>154085.30266755575</v>
      </c>
      <c r="P225" s="70">
        <f t="shared" si="62"/>
        <v>150807.21639171737</v>
      </c>
      <c r="Q225" s="70">
        <f t="shared" si="63"/>
        <v>157363.38894339433</v>
      </c>
      <c r="S225" s="57">
        <v>20.84</v>
      </c>
      <c r="T225" s="57">
        <v>13.15</v>
      </c>
      <c r="AA225" s="197"/>
    </row>
    <row r="226" spans="1:27" ht="15" x14ac:dyDescent="0.3">
      <c r="A226" s="60">
        <v>44748</v>
      </c>
      <c r="B226" s="60">
        <v>44788</v>
      </c>
      <c r="C226" s="54">
        <f t="shared" si="55"/>
        <v>97849.58</v>
      </c>
      <c r="D226" s="54">
        <f t="shared" si="56"/>
        <v>97721.04</v>
      </c>
      <c r="E226" s="54">
        <f t="shared" si="57"/>
        <v>97735.126443005982</v>
      </c>
      <c r="F226" s="115">
        <f t="shared" si="54"/>
        <v>184.38</v>
      </c>
      <c r="G226" s="51">
        <f>NETWORKDAYS(A226,B226-1,Feriados!$A$2:$A$2000)</f>
        <v>28</v>
      </c>
      <c r="H226" s="121">
        <v>21.61</v>
      </c>
      <c r="I226" s="57">
        <v>13.15</v>
      </c>
      <c r="J226" s="53">
        <f t="shared" si="61"/>
        <v>1.00049037490119</v>
      </c>
      <c r="K226" s="117">
        <f>ROUND(VLOOKUP(A226,'VNA e PRT'!B:G,6,FALSE),2)</f>
        <v>6444.05</v>
      </c>
      <c r="L226" s="117">
        <f>ROUND(VLOOKUP(A226,'VNA e PRT'!B:G,3,FALSE),2)</f>
        <v>0.73</v>
      </c>
      <c r="M226" s="113">
        <f t="shared" si="58"/>
        <v>1.00034617545973</v>
      </c>
      <c r="N226" s="113">
        <f t="shared" si="59"/>
        <v>1.0001441495404264</v>
      </c>
      <c r="O226" s="70">
        <f t="shared" si="60"/>
        <v>154160.86223262618</v>
      </c>
      <c r="P226" s="70">
        <f t="shared" si="62"/>
        <v>150696.78846555419</v>
      </c>
      <c r="Q226" s="70">
        <f t="shared" si="63"/>
        <v>157624.93599969835</v>
      </c>
      <c r="S226" s="57">
        <v>22.18</v>
      </c>
      <c r="T226" s="57">
        <v>13.15</v>
      </c>
      <c r="AA226" s="197"/>
    </row>
    <row r="227" spans="1:27" ht="15" x14ac:dyDescent="0.3">
      <c r="A227" s="60">
        <v>44749</v>
      </c>
      <c r="B227" s="60">
        <v>44788</v>
      </c>
      <c r="C227" s="54">
        <f t="shared" si="55"/>
        <v>98004.42</v>
      </c>
      <c r="D227" s="54">
        <f t="shared" si="56"/>
        <v>97849.58</v>
      </c>
      <c r="E227" s="54">
        <f t="shared" si="57"/>
        <v>97863.696691608333</v>
      </c>
      <c r="F227" s="115">
        <f t="shared" si="54"/>
        <v>226.78</v>
      </c>
      <c r="G227" s="51">
        <f>NETWORKDAYS(A227,B227-1,Feriados!$A$2:$A$2000)</f>
        <v>27</v>
      </c>
      <c r="H227" s="121">
        <v>20.7</v>
      </c>
      <c r="I227" s="57">
        <v>13.15</v>
      </c>
      <c r="J227" s="53">
        <f t="shared" si="61"/>
        <v>1.00049037490119</v>
      </c>
      <c r="K227" s="117">
        <f>ROUND(VLOOKUP(A227,'VNA e PRT'!B:G,6,FALSE),2)</f>
        <v>6446.28</v>
      </c>
      <c r="L227" s="117">
        <f>ROUND(VLOOKUP(A227,'VNA e PRT'!B:G,3,FALSE),2)</f>
        <v>0.73</v>
      </c>
      <c r="M227" s="113">
        <f t="shared" si="58"/>
        <v>1.00034605566375</v>
      </c>
      <c r="N227" s="113">
        <f t="shared" si="59"/>
        <v>1.0001442693122273</v>
      </c>
      <c r="O227" s="70">
        <f t="shared" si="60"/>
        <v>154236.45885021088</v>
      </c>
      <c r="P227" s="70">
        <f t="shared" si="62"/>
        <v>150543.90638830763</v>
      </c>
      <c r="Q227" s="70">
        <f t="shared" si="63"/>
        <v>157929.01131211428</v>
      </c>
      <c r="S227" s="57">
        <v>21.61</v>
      </c>
      <c r="T227" s="57">
        <v>13.15</v>
      </c>
      <c r="AA227" s="197"/>
    </row>
    <row r="228" spans="1:27" ht="15" x14ac:dyDescent="0.3">
      <c r="A228" s="60">
        <v>44750</v>
      </c>
      <c r="B228" s="60">
        <v>44788</v>
      </c>
      <c r="C228" s="54">
        <f t="shared" si="55"/>
        <v>98128.9</v>
      </c>
      <c r="D228" s="54">
        <f t="shared" si="56"/>
        <v>98004.42</v>
      </c>
      <c r="E228" s="54">
        <f t="shared" si="57"/>
        <v>98062.975419411305</v>
      </c>
      <c r="F228" s="115">
        <f t="shared" si="54"/>
        <v>106.23</v>
      </c>
      <c r="G228" s="51">
        <f>NETWORKDAYS(A228,B228-1,Feriados!$A$2:$A$2000)</f>
        <v>26</v>
      </c>
      <c r="H228" s="121">
        <v>20.09</v>
      </c>
      <c r="I228" s="57">
        <v>13.15</v>
      </c>
      <c r="J228" s="53">
        <f t="shared" si="61"/>
        <v>1.00049037490119</v>
      </c>
      <c r="K228" s="117">
        <f>ROUND(VLOOKUP(A228,'VNA e PRT'!B:G,6,FALSE),2)</f>
        <v>6445.59</v>
      </c>
      <c r="L228" s="117">
        <f>ROUND(VLOOKUP(A228,'VNA e PRT'!B:G,3,FALSE),2)</f>
        <v>0.67</v>
      </c>
      <c r="M228" s="113">
        <f t="shared" si="58"/>
        <v>0.99989296152199403</v>
      </c>
      <c r="N228" s="113">
        <f t="shared" si="59"/>
        <v>1.0005974773322601</v>
      </c>
      <c r="O228" s="70">
        <f t="shared" si="60"/>
        <v>154312.09253847945</v>
      </c>
      <c r="P228" s="70">
        <f t="shared" si="62"/>
        <v>150511.49934152755</v>
      </c>
      <c r="Q228" s="70">
        <f t="shared" si="63"/>
        <v>158112.6857354315</v>
      </c>
      <c r="S228" s="57">
        <v>20.7</v>
      </c>
      <c r="T228" s="57">
        <v>13.15</v>
      </c>
      <c r="AA228" s="197"/>
    </row>
    <row r="229" spans="1:27" ht="15" x14ac:dyDescent="0.3">
      <c r="A229" s="60">
        <v>44753</v>
      </c>
      <c r="B229" s="60">
        <v>44788</v>
      </c>
      <c r="C229" s="54">
        <f t="shared" si="55"/>
        <v>98126.69</v>
      </c>
      <c r="D229" s="54">
        <f t="shared" si="56"/>
        <v>98128.9</v>
      </c>
      <c r="E229" s="54">
        <f t="shared" si="57"/>
        <v>98145.804979373221</v>
      </c>
      <c r="F229" s="115">
        <f t="shared" si="54"/>
        <v>-30.81</v>
      </c>
      <c r="G229" s="51">
        <f>NETWORKDAYS(A229,B229-1,Feriados!$A$2:$A$2000)</f>
        <v>25</v>
      </c>
      <c r="H229" s="121">
        <v>21</v>
      </c>
      <c r="I229" s="57">
        <v>13.15</v>
      </c>
      <c r="J229" s="53">
        <f t="shared" si="61"/>
        <v>1.00049037490119</v>
      </c>
      <c r="K229" s="117">
        <f>ROUND(VLOOKUP(A229,'VNA e PRT'!B:G,6,FALSE),2)</f>
        <v>6447.64</v>
      </c>
      <c r="L229" s="117">
        <f>ROUND(VLOOKUP(A229,'VNA e PRT'!B:G,3,FALSE),2)</f>
        <v>0.67</v>
      </c>
      <c r="M229" s="113">
        <f t="shared" si="58"/>
        <v>1.0003180469127</v>
      </c>
      <c r="N229" s="113">
        <f t="shared" si="59"/>
        <v>1.0001722731975313</v>
      </c>
      <c r="O229" s="70">
        <f t="shared" si="60"/>
        <v>154387.76331561044</v>
      </c>
      <c r="P229" s="70">
        <f t="shared" si="62"/>
        <v>150616.1164031451</v>
      </c>
      <c r="Q229" s="70">
        <f t="shared" si="63"/>
        <v>158159.4102280759</v>
      </c>
      <c r="S229" s="57">
        <v>20.09</v>
      </c>
      <c r="T229" s="57">
        <v>13.15</v>
      </c>
      <c r="AA229" s="197"/>
    </row>
    <row r="230" spans="1:27" ht="15" x14ac:dyDescent="0.3">
      <c r="A230" s="60">
        <v>44754</v>
      </c>
      <c r="B230" s="60">
        <v>44788</v>
      </c>
      <c r="C230" s="54">
        <f t="shared" si="55"/>
        <v>98127.07</v>
      </c>
      <c r="D230" s="54">
        <f t="shared" si="56"/>
        <v>98126.69</v>
      </c>
      <c r="E230" s="54">
        <f t="shared" si="57"/>
        <v>98143.604519940185</v>
      </c>
      <c r="F230" s="115">
        <f t="shared" si="54"/>
        <v>-26.66</v>
      </c>
      <c r="G230" s="51">
        <f>NETWORKDAYS(A230,B230-1,Feriados!$A$2:$A$2000)</f>
        <v>24</v>
      </c>
      <c r="H230" s="121">
        <v>21.96</v>
      </c>
      <c r="I230" s="57">
        <v>13.15</v>
      </c>
      <c r="J230" s="53">
        <f t="shared" si="61"/>
        <v>1.00049037490119</v>
      </c>
      <c r="K230" s="117">
        <f>ROUND(VLOOKUP(A230,'VNA e PRT'!B:G,6,FALSE),2)</f>
        <v>6449.69</v>
      </c>
      <c r="L230" s="117">
        <f>ROUND(VLOOKUP(A230,'VNA e PRT'!B:G,3,FALSE),2)</f>
        <v>0.67</v>
      </c>
      <c r="M230" s="113">
        <f t="shared" si="58"/>
        <v>1.0003179457910201</v>
      </c>
      <c r="N230" s="113">
        <f t="shared" si="59"/>
        <v>1.0001723743044852</v>
      </c>
      <c r="O230" s="70">
        <f t="shared" si="60"/>
        <v>154463.47119979127</v>
      </c>
      <c r="P230" s="70">
        <f t="shared" si="62"/>
        <v>150716.63476634392</v>
      </c>
      <c r="Q230" s="70">
        <f t="shared" si="63"/>
        <v>158210.30763323876</v>
      </c>
      <c r="S230" s="57">
        <v>21</v>
      </c>
      <c r="T230" s="57">
        <v>13.15</v>
      </c>
      <c r="AA230" s="197"/>
    </row>
    <row r="231" spans="1:27" ht="15" x14ac:dyDescent="0.3">
      <c r="A231" s="60">
        <v>44755</v>
      </c>
      <c r="B231" s="60">
        <v>44788</v>
      </c>
      <c r="C231" s="54">
        <f t="shared" si="55"/>
        <v>98115.23</v>
      </c>
      <c r="D231" s="54">
        <f t="shared" si="56"/>
        <v>98127.07</v>
      </c>
      <c r="E231" s="54">
        <f t="shared" si="57"/>
        <v>98143.994500466913</v>
      </c>
      <c r="F231" s="115">
        <f t="shared" si="54"/>
        <v>-46.39</v>
      </c>
      <c r="G231" s="51">
        <f>NETWORKDAYS(A231,B231-1,Feriados!$A$2:$A$2000)</f>
        <v>23</v>
      </c>
      <c r="H231" s="121">
        <v>23.18</v>
      </c>
      <c r="I231" s="57">
        <v>13.15</v>
      </c>
      <c r="J231" s="53">
        <f t="shared" si="61"/>
        <v>1.00049037490119</v>
      </c>
      <c r="K231" s="117">
        <f>ROUND(VLOOKUP(A231,'VNA e PRT'!B:G,6,FALSE),2)</f>
        <v>6451.74</v>
      </c>
      <c r="L231" s="117">
        <f>ROUND(VLOOKUP(A231,'VNA e PRT'!B:G,3,FALSE),2)</f>
        <v>0.67</v>
      </c>
      <c r="M231" s="113">
        <f t="shared" si="58"/>
        <v>1.0003178447336201</v>
      </c>
      <c r="N231" s="113">
        <f t="shared" si="59"/>
        <v>1.0001724753471892</v>
      </c>
      <c r="O231" s="70">
        <f t="shared" si="60"/>
        <v>154539.21620921831</v>
      </c>
      <c r="P231" s="70">
        <f t="shared" si="62"/>
        <v>150836.93242122518</v>
      </c>
      <c r="Q231" s="70">
        <f t="shared" si="63"/>
        <v>158241.49999721162</v>
      </c>
      <c r="S231" s="57">
        <v>21.96</v>
      </c>
      <c r="T231" s="57">
        <v>13.15</v>
      </c>
      <c r="AA231" s="197"/>
    </row>
    <row r="232" spans="1:27" ht="15" x14ac:dyDescent="0.3">
      <c r="A232" s="60">
        <v>44756</v>
      </c>
      <c r="B232" s="60">
        <v>44788</v>
      </c>
      <c r="C232" s="54">
        <f t="shared" si="55"/>
        <v>98103.72</v>
      </c>
      <c r="D232" s="54">
        <f t="shared" si="56"/>
        <v>98115.23</v>
      </c>
      <c r="E232" s="54">
        <f t="shared" si="57"/>
        <v>98132.162365887896</v>
      </c>
      <c r="F232" s="115">
        <f t="shared" si="54"/>
        <v>-45.89</v>
      </c>
      <c r="G232" s="51">
        <f>NETWORKDAYS(A232,B232-1,Feriados!$A$2:$A$2000)</f>
        <v>22</v>
      </c>
      <c r="H232" s="121">
        <v>24.52</v>
      </c>
      <c r="I232" s="57">
        <v>13.15</v>
      </c>
      <c r="J232" s="53">
        <f t="shared" si="61"/>
        <v>1.00049037490119</v>
      </c>
      <c r="K232" s="117">
        <f>ROUND(VLOOKUP(A232,'VNA e PRT'!B:G,6,FALSE),2)</f>
        <v>6453.79</v>
      </c>
      <c r="L232" s="117">
        <f>ROUND(VLOOKUP(A232,'VNA e PRT'!B:G,3,FALSE),2)</f>
        <v>0.67</v>
      </c>
      <c r="M232" s="113">
        <f t="shared" si="58"/>
        <v>1.00031774374045</v>
      </c>
      <c r="N232" s="113">
        <f t="shared" si="59"/>
        <v>1.0001725763256928</v>
      </c>
      <c r="O232" s="70">
        <f t="shared" si="60"/>
        <v>154614.99836209687</v>
      </c>
      <c r="P232" s="70">
        <f t="shared" si="62"/>
        <v>150956.78906705705</v>
      </c>
      <c r="Q232" s="70">
        <f t="shared" si="63"/>
        <v>158273.2076571369</v>
      </c>
      <c r="S232" s="57">
        <v>23.18</v>
      </c>
      <c r="T232" s="57">
        <v>13.15</v>
      </c>
      <c r="AA232" s="197"/>
    </row>
    <row r="233" spans="1:27" ht="15" x14ac:dyDescent="0.3">
      <c r="A233" s="60">
        <v>44757</v>
      </c>
      <c r="B233" s="60">
        <v>44788</v>
      </c>
      <c r="C233" s="54">
        <f t="shared" si="55"/>
        <v>98093.15</v>
      </c>
      <c r="D233" s="54">
        <f t="shared" si="56"/>
        <v>98103.72</v>
      </c>
      <c r="E233" s="54">
        <f t="shared" si="57"/>
        <v>98120.508292404847</v>
      </c>
      <c r="F233" s="115">
        <f t="shared" si="54"/>
        <v>-44.15</v>
      </c>
      <c r="G233" s="51">
        <f>NETWORKDAYS(A233,B233-1,Feriados!$A$2:$A$2000)</f>
        <v>21</v>
      </c>
      <c r="H233" s="121">
        <v>25.99</v>
      </c>
      <c r="I233" s="57">
        <v>13.15</v>
      </c>
      <c r="J233" s="53">
        <f t="shared" si="61"/>
        <v>1.00049037490119</v>
      </c>
      <c r="K233" s="117">
        <f>ROUND(VLOOKUP(A233,'VNA e PRT'!B:G,6,FALSE),2)</f>
        <v>6455.85</v>
      </c>
      <c r="L233" s="117">
        <f>ROUND(VLOOKUP(A233,'VNA e PRT'!B:G,3,FALSE),2)</f>
        <v>0.67</v>
      </c>
      <c r="M233" s="113">
        <f t="shared" si="58"/>
        <v>1.0003191922885599</v>
      </c>
      <c r="N233" s="113">
        <f t="shared" si="59"/>
        <v>1.0001711279898953</v>
      </c>
      <c r="O233" s="70">
        <f t="shared" si="60"/>
        <v>154690.81767664116</v>
      </c>
      <c r="P233" s="70">
        <f t="shared" si="62"/>
        <v>151074.96448757977</v>
      </c>
      <c r="Q233" s="70">
        <f t="shared" si="63"/>
        <v>158306.67086570279</v>
      </c>
      <c r="S233" s="57">
        <v>24.52</v>
      </c>
      <c r="T233" s="57">
        <v>13.15</v>
      </c>
      <c r="AA233" s="197"/>
    </row>
    <row r="234" spans="1:27" ht="15" x14ac:dyDescent="0.3">
      <c r="A234" s="60">
        <v>44760</v>
      </c>
      <c r="B234" s="60">
        <v>44788</v>
      </c>
      <c r="C234" s="54">
        <f t="shared" si="55"/>
        <v>98170.14</v>
      </c>
      <c r="D234" s="54">
        <f t="shared" si="56"/>
        <v>98093.15</v>
      </c>
      <c r="E234" s="54">
        <f t="shared" si="57"/>
        <v>98170.905100406613</v>
      </c>
      <c r="F234" s="115">
        <f t="shared" si="54"/>
        <v>-1.23</v>
      </c>
      <c r="G234" s="51">
        <f>NETWORKDAYS(A234,B234-1,Feriados!$A$2:$A$2000)</f>
        <v>20</v>
      </c>
      <c r="H234" s="121">
        <v>26.2</v>
      </c>
      <c r="I234" s="57">
        <v>13.15</v>
      </c>
      <c r="J234" s="53">
        <f t="shared" si="61"/>
        <v>1.00049037490119</v>
      </c>
      <c r="K234" s="117">
        <f>ROUND(VLOOKUP(A234,'VNA e PRT'!B:G,6,FALSE),2)</f>
        <v>6453.9</v>
      </c>
      <c r="L234" s="117">
        <f>ROUND(VLOOKUP(A234,'VNA e PRT'!B:G,3,FALSE),2)</f>
        <v>-0.63</v>
      </c>
      <c r="M234" s="113">
        <f t="shared" si="58"/>
        <v>0.999697948372406</v>
      </c>
      <c r="N234" s="113">
        <f t="shared" si="59"/>
        <v>1.0007926659548259</v>
      </c>
      <c r="O234" s="70">
        <f t="shared" si="60"/>
        <v>154766.67417107435</v>
      </c>
      <c r="P234" s="70">
        <f t="shared" si="62"/>
        <v>151150.27785836265</v>
      </c>
      <c r="Q234" s="70">
        <f t="shared" si="63"/>
        <v>158383.07048378626</v>
      </c>
      <c r="S234" s="57">
        <v>25.99</v>
      </c>
      <c r="T234" s="57">
        <v>13.15</v>
      </c>
      <c r="AA234" s="197"/>
    </row>
    <row r="235" spans="1:27" ht="15" x14ac:dyDescent="0.3">
      <c r="A235" s="60">
        <v>44761</v>
      </c>
      <c r="B235" s="60">
        <v>44788</v>
      </c>
      <c r="C235" s="54">
        <f t="shared" si="55"/>
        <v>98249.1</v>
      </c>
      <c r="D235" s="54">
        <f t="shared" si="56"/>
        <v>98170.14</v>
      </c>
      <c r="E235" s="54">
        <f t="shared" si="57"/>
        <v>98247.812820693798</v>
      </c>
      <c r="F235" s="115">
        <f t="shared" si="54"/>
        <v>2.0699999999999998</v>
      </c>
      <c r="G235" s="51">
        <f>NETWORKDAYS(A235,B235-1,Feriados!$A$2:$A$2000)</f>
        <v>19</v>
      </c>
      <c r="H235" s="121">
        <v>26.4</v>
      </c>
      <c r="I235" s="57">
        <v>13.15</v>
      </c>
      <c r="J235" s="53">
        <f t="shared" si="61"/>
        <v>1.00049037490119</v>
      </c>
      <c r="K235" s="117">
        <f>ROUND(VLOOKUP(A235,'VNA e PRT'!B:G,6,FALSE),2)</f>
        <v>6451.96</v>
      </c>
      <c r="L235" s="117">
        <f>ROUND(VLOOKUP(A235,'VNA e PRT'!B:G,3,FALSE),2)</f>
        <v>-0.63</v>
      </c>
      <c r="M235" s="113">
        <f t="shared" si="58"/>
        <v>0.99969940656037404</v>
      </c>
      <c r="N235" s="113">
        <f t="shared" si="59"/>
        <v>1.0007912061722006</v>
      </c>
      <c r="O235" s="70">
        <f t="shared" si="60"/>
        <v>154842.5678636285</v>
      </c>
      <c r="P235" s="70">
        <f t="shared" si="62"/>
        <v>151222.32816093229</v>
      </c>
      <c r="Q235" s="70">
        <f t="shared" si="63"/>
        <v>158462.80756632492</v>
      </c>
      <c r="S235" s="57">
        <v>26.2</v>
      </c>
      <c r="T235" s="57">
        <v>13.15</v>
      </c>
      <c r="AA235" s="197"/>
    </row>
    <row r="236" spans="1:27" ht="15" x14ac:dyDescent="0.3">
      <c r="A236" s="60">
        <v>44762</v>
      </c>
      <c r="B236" s="60">
        <v>44788</v>
      </c>
      <c r="C236" s="54">
        <f t="shared" si="55"/>
        <v>98424.38</v>
      </c>
      <c r="D236" s="54">
        <f t="shared" si="56"/>
        <v>98249.1</v>
      </c>
      <c r="E236" s="54">
        <f t="shared" si="57"/>
        <v>98326.844184137968</v>
      </c>
      <c r="F236" s="115">
        <f t="shared" si="54"/>
        <v>157.27000000000001</v>
      </c>
      <c r="G236" s="51">
        <f>NETWORKDAYS(A236,B236-1,Feriados!$A$2:$A$2000)</f>
        <v>18</v>
      </c>
      <c r="H236" s="121">
        <v>24.9</v>
      </c>
      <c r="I236" s="57">
        <v>13.15</v>
      </c>
      <c r="J236" s="53">
        <f t="shared" si="61"/>
        <v>1.00049037490119</v>
      </c>
      <c r="K236" s="117">
        <f>ROUND(VLOOKUP(A236,'VNA e PRT'!B:G,6,FALSE),2)</f>
        <v>6450.02</v>
      </c>
      <c r="L236" s="117">
        <f>ROUND(VLOOKUP(A236,'VNA e PRT'!B:G,3,FALSE),2)</f>
        <v>-0.63</v>
      </c>
      <c r="M236" s="113">
        <f t="shared" si="58"/>
        <v>0.99969931617678998</v>
      </c>
      <c r="N236" s="113">
        <f t="shared" si="59"/>
        <v>1.0007912966545034</v>
      </c>
      <c r="O236" s="70">
        <f t="shared" si="60"/>
        <v>154918.49877254464</v>
      </c>
      <c r="P236" s="70">
        <f t="shared" si="62"/>
        <v>151139.21379516192</v>
      </c>
      <c r="Q236" s="70">
        <f t="shared" si="63"/>
        <v>158697.78374992753</v>
      </c>
      <c r="S236" s="57">
        <v>26.4</v>
      </c>
      <c r="T236" s="57">
        <v>13.15</v>
      </c>
      <c r="AA236" s="197"/>
    </row>
    <row r="237" spans="1:27" ht="15" x14ac:dyDescent="0.3">
      <c r="A237" s="60">
        <v>44763</v>
      </c>
      <c r="B237" s="60">
        <v>44788</v>
      </c>
      <c r="C237" s="54">
        <f t="shared" si="55"/>
        <v>98543.27</v>
      </c>
      <c r="D237" s="54">
        <f t="shared" si="56"/>
        <v>98424.38</v>
      </c>
      <c r="E237" s="54">
        <f t="shared" si="57"/>
        <v>98502.271793639011</v>
      </c>
      <c r="F237" s="115">
        <f t="shared" si="54"/>
        <v>66.08</v>
      </c>
      <c r="G237" s="51">
        <f>NETWORKDAYS(A237,B237-1,Feriados!$A$2:$A$2000)</f>
        <v>17</v>
      </c>
      <c r="H237" s="121">
        <v>24.3</v>
      </c>
      <c r="I237" s="57">
        <v>13.15</v>
      </c>
      <c r="J237" s="53">
        <f t="shared" si="61"/>
        <v>1.00049037490119</v>
      </c>
      <c r="K237" s="117">
        <f>ROUND(VLOOKUP(A237,'VNA e PRT'!B:G,6,FALSE),2)</f>
        <v>6448.08</v>
      </c>
      <c r="L237" s="117">
        <f>ROUND(VLOOKUP(A237,'VNA e PRT'!B:G,3,FALSE),2)</f>
        <v>-0.63</v>
      </c>
      <c r="M237" s="113">
        <f t="shared" si="58"/>
        <v>0.99969922573883496</v>
      </c>
      <c r="N237" s="113">
        <f t="shared" si="59"/>
        <v>1.0007913871912528</v>
      </c>
      <c r="O237" s="70">
        <f t="shared" si="60"/>
        <v>154994.46691607274</v>
      </c>
      <c r="P237" s="70">
        <f t="shared" si="62"/>
        <v>151147.24867219265</v>
      </c>
      <c r="Q237" s="70">
        <f t="shared" si="63"/>
        <v>158841.68515995296</v>
      </c>
      <c r="S237" s="57">
        <v>24.9</v>
      </c>
      <c r="T237" s="57">
        <v>13.15</v>
      </c>
      <c r="AA237" s="197"/>
    </row>
    <row r="238" spans="1:27" ht="15" x14ac:dyDescent="0.3">
      <c r="A238" s="60">
        <v>44764</v>
      </c>
      <c r="B238" s="60">
        <v>44788</v>
      </c>
      <c r="C238" s="54">
        <f t="shared" si="55"/>
        <v>98580.7</v>
      </c>
      <c r="D238" s="54">
        <f t="shared" si="56"/>
        <v>98543.27</v>
      </c>
      <c r="E238" s="54">
        <f t="shared" si="57"/>
        <v>98621.2648088196</v>
      </c>
      <c r="F238" s="115">
        <f t="shared" si="54"/>
        <v>-65.37</v>
      </c>
      <c r="G238" s="51">
        <f>NETWORKDAYS(A238,B238-1,Feriados!$A$2:$A$2000)</f>
        <v>16</v>
      </c>
      <c r="H238" s="121">
        <v>25.25</v>
      </c>
      <c r="I238" s="57">
        <v>13.15</v>
      </c>
      <c r="J238" s="53">
        <f t="shared" si="61"/>
        <v>1.00049037490119</v>
      </c>
      <c r="K238" s="117">
        <f>ROUND(VLOOKUP(A238,'VNA e PRT'!B:G,6,FALSE),2)</f>
        <v>6446.14</v>
      </c>
      <c r="L238" s="117">
        <f>ROUND(VLOOKUP(A238,'VNA e PRT'!B:G,3,FALSE),2)</f>
        <v>-0.63</v>
      </c>
      <c r="M238" s="113">
        <f t="shared" si="58"/>
        <v>0.99969913524646103</v>
      </c>
      <c r="N238" s="113">
        <f t="shared" si="59"/>
        <v>1.0007914777824969</v>
      </c>
      <c r="O238" s="70">
        <f t="shared" si="60"/>
        <v>155070.47231247168</v>
      </c>
      <c r="P238" s="70">
        <f t="shared" si="62"/>
        <v>151286.7374893254</v>
      </c>
      <c r="Q238" s="70">
        <f t="shared" si="63"/>
        <v>158854.20713561814</v>
      </c>
      <c r="S238" s="57">
        <v>24.3</v>
      </c>
      <c r="T238" s="57">
        <v>13.15</v>
      </c>
      <c r="AA238" s="197"/>
    </row>
    <row r="239" spans="1:27" ht="15" x14ac:dyDescent="0.3">
      <c r="A239" s="60">
        <v>44767</v>
      </c>
      <c r="B239" s="60">
        <v>44788</v>
      </c>
      <c r="C239" s="54">
        <f t="shared" si="55"/>
        <v>98586.89</v>
      </c>
      <c r="D239" s="54">
        <f t="shared" si="56"/>
        <v>98580.7</v>
      </c>
      <c r="E239" s="54">
        <f t="shared" si="57"/>
        <v>98658.733369758236</v>
      </c>
      <c r="F239" s="115">
        <f t="shared" si="54"/>
        <v>-115.74</v>
      </c>
      <c r="G239" s="51">
        <f>NETWORKDAYS(A239,B239-1,Feriados!$A$2:$A$2000)</f>
        <v>15</v>
      </c>
      <c r="H239" s="121">
        <v>27.01</v>
      </c>
      <c r="I239" s="57">
        <v>13.15</v>
      </c>
      <c r="J239" s="53">
        <f t="shared" si="61"/>
        <v>1.00049037490119</v>
      </c>
      <c r="K239" s="117">
        <f>ROUND(VLOOKUP(A239,'VNA e PRT'!B:G,6,FALSE),2)</f>
        <v>6444.2</v>
      </c>
      <c r="L239" s="117">
        <f>ROUND(VLOOKUP(A239,'VNA e PRT'!B:G,3,FALSE),2)</f>
        <v>-0.63</v>
      </c>
      <c r="M239" s="113">
        <f t="shared" si="58"/>
        <v>0.99969904469961901</v>
      </c>
      <c r="N239" s="113">
        <f t="shared" si="59"/>
        <v>1.0007915684282851</v>
      </c>
      <c r="O239" s="70">
        <f t="shared" si="60"/>
        <v>155146.51498000941</v>
      </c>
      <c r="P239" s="70">
        <f t="shared" si="62"/>
        <v>151476.66470827308</v>
      </c>
      <c r="Q239" s="70">
        <f t="shared" si="63"/>
        <v>158816.36525174588</v>
      </c>
      <c r="S239" s="57">
        <v>25.25</v>
      </c>
      <c r="T239" s="57">
        <v>13.15</v>
      </c>
      <c r="AA239" s="197"/>
    </row>
    <row r="240" spans="1:27" ht="15" x14ac:dyDescent="0.3">
      <c r="A240" s="60">
        <v>44768</v>
      </c>
      <c r="B240" s="60">
        <v>44788</v>
      </c>
      <c r="C240" s="54">
        <f t="shared" si="55"/>
        <v>98771.92</v>
      </c>
      <c r="D240" s="54">
        <f t="shared" si="56"/>
        <v>98586.89</v>
      </c>
      <c r="E240" s="54">
        <f t="shared" si="57"/>
        <v>98664.937211435405</v>
      </c>
      <c r="F240" s="115">
        <f t="shared" si="54"/>
        <v>172.3</v>
      </c>
      <c r="G240" s="51">
        <f>NETWORKDAYS(A240,B240-1,Feriados!$A$2:$A$2000)</f>
        <v>14</v>
      </c>
      <c r="H240" s="121">
        <v>24.91</v>
      </c>
      <c r="I240" s="57">
        <v>13.15</v>
      </c>
      <c r="J240" s="53">
        <f t="shared" si="61"/>
        <v>1.00049037490119</v>
      </c>
      <c r="K240" s="117">
        <f>ROUND(VLOOKUP(A240,'VNA e PRT'!B:G,6,FALSE),2)</f>
        <v>6442.26</v>
      </c>
      <c r="L240" s="117">
        <f>ROUND(VLOOKUP(A240,'VNA e PRT'!B:G,3,FALSE),2)</f>
        <v>-0.63</v>
      </c>
      <c r="M240" s="113">
        <f t="shared" si="58"/>
        <v>0.99969895409825904</v>
      </c>
      <c r="N240" s="113">
        <f t="shared" si="59"/>
        <v>1.0007916591286672</v>
      </c>
      <c r="O240" s="70">
        <f t="shared" si="60"/>
        <v>155222.59493696271</v>
      </c>
      <c r="P240" s="70">
        <f t="shared" si="62"/>
        <v>151378.64506276199</v>
      </c>
      <c r="Q240" s="70">
        <f t="shared" si="63"/>
        <v>159066.54481116353</v>
      </c>
      <c r="S240" s="57">
        <v>27.01</v>
      </c>
      <c r="T240" s="57">
        <v>13.15</v>
      </c>
      <c r="AA240" s="197"/>
    </row>
    <row r="241" spans="1:27" ht="15" x14ac:dyDescent="0.3">
      <c r="A241" s="60">
        <v>44769</v>
      </c>
      <c r="B241" s="60">
        <v>44788</v>
      </c>
      <c r="C241" s="54">
        <f t="shared" si="55"/>
        <v>98875.9</v>
      </c>
      <c r="D241" s="54">
        <f t="shared" si="56"/>
        <v>98771.92</v>
      </c>
      <c r="E241" s="54">
        <f t="shared" si="57"/>
        <v>98861.481951462411</v>
      </c>
      <c r="F241" s="115">
        <f t="shared" si="54"/>
        <v>23.21</v>
      </c>
      <c r="G241" s="51">
        <f>NETWORKDAYS(A241,B241-1,Feriados!$A$2:$A$2000)</f>
        <v>13</v>
      </c>
      <c r="H241" s="121">
        <v>24.5</v>
      </c>
      <c r="I241" s="57">
        <v>13.15</v>
      </c>
      <c r="J241" s="53">
        <f t="shared" si="61"/>
        <v>1.00049037490119</v>
      </c>
      <c r="K241" s="117">
        <f>ROUND(VLOOKUP(A241,'VNA e PRT'!B:G,6,FALSE),2)</f>
        <v>6439.58</v>
      </c>
      <c r="L241" s="117">
        <f>ROUND(VLOOKUP(A241,'VNA e PRT'!B:G,3,FALSE),2)</f>
        <v>-0.66</v>
      </c>
      <c r="M241" s="113">
        <f t="shared" si="58"/>
        <v>0.99958399692033495</v>
      </c>
      <c r="N241" s="113">
        <f t="shared" si="59"/>
        <v>1.0009067551938082</v>
      </c>
      <c r="O241" s="70">
        <f t="shared" si="60"/>
        <v>155298.71220161737</v>
      </c>
      <c r="P241" s="70">
        <f t="shared" si="62"/>
        <v>151429.66735087693</v>
      </c>
      <c r="Q241" s="70">
        <f t="shared" si="63"/>
        <v>159167.75705235792</v>
      </c>
      <c r="S241" s="57">
        <v>24.91</v>
      </c>
      <c r="T241" s="57">
        <v>13.15</v>
      </c>
      <c r="AA241" s="197"/>
    </row>
    <row r="242" spans="1:27" ht="15" x14ac:dyDescent="0.3">
      <c r="A242" s="60">
        <v>44770</v>
      </c>
      <c r="B242" s="60">
        <v>44788</v>
      </c>
      <c r="C242" s="54">
        <f t="shared" si="55"/>
        <v>98960.41</v>
      </c>
      <c r="D242" s="54">
        <f t="shared" si="56"/>
        <v>98875.9</v>
      </c>
      <c r="E242" s="54">
        <f t="shared" si="57"/>
        <v>98955.580814159272</v>
      </c>
      <c r="F242" s="115">
        <f t="shared" si="54"/>
        <v>7.77</v>
      </c>
      <c r="G242" s="51">
        <f>NETWORKDAYS(A242,B242-1,Feriados!$A$2:$A$2000)</f>
        <v>12</v>
      </c>
      <c r="H242" s="121">
        <v>24.54</v>
      </c>
      <c r="I242" s="57">
        <v>13.15</v>
      </c>
      <c r="J242" s="53">
        <f t="shared" si="61"/>
        <v>1.00049037490119</v>
      </c>
      <c r="K242" s="117">
        <f>ROUND(VLOOKUP(A242,'VNA e PRT'!B:G,6,FALSE),2)</f>
        <v>6437.55</v>
      </c>
      <c r="L242" s="117">
        <f>ROUND(VLOOKUP(A242,'VNA e PRT'!B:G,3,FALSE),2)</f>
        <v>-0.66</v>
      </c>
      <c r="M242" s="113">
        <f t="shared" si="58"/>
        <v>0.99968476204969903</v>
      </c>
      <c r="N242" s="113">
        <f t="shared" si="59"/>
        <v>1.000805866891318</v>
      </c>
      <c r="O242" s="70">
        <f t="shared" si="60"/>
        <v>155374.86679226818</v>
      </c>
      <c r="P242" s="70">
        <f t="shared" si="62"/>
        <v>151496.15465904135</v>
      </c>
      <c r="Q242" s="70">
        <f t="shared" si="63"/>
        <v>159253.57892549509</v>
      </c>
      <c r="S242" s="57">
        <v>24.5</v>
      </c>
      <c r="T242" s="57">
        <v>13.15</v>
      </c>
      <c r="AA242" s="197"/>
    </row>
    <row r="243" spans="1:27" ht="15" x14ac:dyDescent="0.3">
      <c r="A243" s="60">
        <v>44771</v>
      </c>
      <c r="B243" s="60">
        <v>44788</v>
      </c>
      <c r="C243" s="54">
        <f t="shared" si="55"/>
        <v>99050.45</v>
      </c>
      <c r="D243" s="54">
        <f t="shared" si="56"/>
        <v>98960.41</v>
      </c>
      <c r="E243" s="54">
        <f t="shared" si="57"/>
        <v>99040.168766291754</v>
      </c>
      <c r="F243" s="115">
        <f t="shared" si="54"/>
        <v>16.54</v>
      </c>
      <c r="G243" s="51">
        <f>NETWORKDAYS(A243,B243-1,Feriados!$A$2:$A$2000)</f>
        <v>11</v>
      </c>
      <c r="H243" s="121">
        <v>24.43</v>
      </c>
      <c r="I243" s="57">
        <v>13.15</v>
      </c>
      <c r="J243" s="53">
        <f t="shared" si="61"/>
        <v>1.00049037490119</v>
      </c>
      <c r="K243" s="117">
        <f>ROUND(VLOOKUP(A243,'VNA e PRT'!B:G,6,FALSE),2)</f>
        <v>6435.52</v>
      </c>
      <c r="L243" s="117">
        <f>ROUND(VLOOKUP(A243,'VNA e PRT'!B:G,3,FALSE),2)</f>
        <v>-0.66</v>
      </c>
      <c r="M243" s="113">
        <f t="shared" si="58"/>
        <v>0.99968466264339695</v>
      </c>
      <c r="N243" s="113">
        <f t="shared" si="59"/>
        <v>1.00080596640911</v>
      </c>
      <c r="O243" s="70">
        <f t="shared" si="60"/>
        <v>155451.05872721883</v>
      </c>
      <c r="P243" s="70">
        <f t="shared" si="62"/>
        <v>151553.90457091294</v>
      </c>
      <c r="Q243" s="70">
        <f t="shared" si="63"/>
        <v>159348.21288352483</v>
      </c>
      <c r="S243" s="57">
        <v>24.54</v>
      </c>
      <c r="T243" s="57">
        <v>13.15</v>
      </c>
      <c r="AA243" s="197"/>
    </row>
    <row r="244" spans="1:27" ht="15" x14ac:dyDescent="0.3">
      <c r="A244" s="60">
        <v>44774</v>
      </c>
      <c r="B244" s="60">
        <v>44788</v>
      </c>
      <c r="C244" s="54">
        <f t="shared" si="55"/>
        <v>99121.25</v>
      </c>
      <c r="D244" s="54">
        <f t="shared" si="56"/>
        <v>99050.45</v>
      </c>
      <c r="E244" s="54">
        <f t="shared" si="57"/>
        <v>99130.291199009967</v>
      </c>
      <c r="F244" s="115">
        <f t="shared" si="54"/>
        <v>-14.54</v>
      </c>
      <c r="G244" s="51">
        <f>NETWORKDAYS(A244,B244-1,Feriados!$A$2:$A$2000)</f>
        <v>10</v>
      </c>
      <c r="H244" s="121">
        <v>24.91</v>
      </c>
      <c r="I244" s="57">
        <v>13.15</v>
      </c>
      <c r="J244" s="53">
        <f t="shared" si="61"/>
        <v>1.00049037490119</v>
      </c>
      <c r="K244" s="117">
        <f>ROUND(VLOOKUP(A244,'VNA e PRT'!B:G,6,FALSE),2)</f>
        <v>6433.49</v>
      </c>
      <c r="L244" s="117">
        <f>ROUND(VLOOKUP(A244,'VNA e PRT'!B:G,3,FALSE),2)</f>
        <v>-0.66</v>
      </c>
      <c r="M244" s="113">
        <f t="shared" si="58"/>
        <v>0.99968456317438203</v>
      </c>
      <c r="N244" s="113">
        <f t="shared" si="59"/>
        <v>1.0008060659897049</v>
      </c>
      <c r="O244" s="70">
        <f t="shared" si="60"/>
        <v>155527.28802478206</v>
      </c>
      <c r="P244" s="70">
        <f t="shared" si="62"/>
        <v>151642.76280189186</v>
      </c>
      <c r="Q244" s="70">
        <f t="shared" si="63"/>
        <v>159411.81324767237</v>
      </c>
      <c r="S244" s="57">
        <v>24.43</v>
      </c>
      <c r="T244" s="57">
        <v>13.15</v>
      </c>
      <c r="AA244" s="197"/>
    </row>
    <row r="245" spans="1:27" ht="15" x14ac:dyDescent="0.3">
      <c r="A245" s="60">
        <v>44775</v>
      </c>
      <c r="B245" s="60">
        <v>44788</v>
      </c>
      <c r="C245" s="54">
        <f t="shared" si="55"/>
        <v>99200.28</v>
      </c>
      <c r="D245" s="54">
        <f t="shared" si="56"/>
        <v>99121.25</v>
      </c>
      <c r="E245" s="54">
        <f t="shared" si="57"/>
        <v>99201.15814526609</v>
      </c>
      <c r="F245" s="115">
        <f t="shared" si="54"/>
        <v>-1.41</v>
      </c>
      <c r="G245" s="51">
        <f>NETWORKDAYS(A245,B245-1,Feriados!$A$2:$A$2000)</f>
        <v>9</v>
      </c>
      <c r="H245" s="121">
        <v>25.21</v>
      </c>
      <c r="I245" s="57">
        <v>13.15</v>
      </c>
      <c r="J245" s="53">
        <f t="shared" si="61"/>
        <v>1.00049037490119</v>
      </c>
      <c r="K245" s="117">
        <f>ROUND(VLOOKUP(A245,'VNA e PRT'!B:G,6,FALSE),2)</f>
        <v>6431.46</v>
      </c>
      <c r="L245" s="117">
        <f>ROUND(VLOOKUP(A245,'VNA e PRT'!B:G,3,FALSE),2)</f>
        <v>-0.66</v>
      </c>
      <c r="M245" s="113">
        <f t="shared" si="58"/>
        <v>0.999684463642595</v>
      </c>
      <c r="N245" s="113">
        <f t="shared" si="59"/>
        <v>1.0008061656331624</v>
      </c>
      <c r="O245" s="70">
        <f t="shared" si="60"/>
        <v>155603.55470327954</v>
      </c>
      <c r="P245" s="70">
        <f t="shared" si="62"/>
        <v>151718.53460671703</v>
      </c>
      <c r="Q245" s="70">
        <f t="shared" si="63"/>
        <v>159488.5747998422</v>
      </c>
      <c r="S245" s="57">
        <v>24.91</v>
      </c>
      <c r="T245" s="57">
        <v>13.15</v>
      </c>
      <c r="AA245" s="197"/>
    </row>
    <row r="246" spans="1:27" ht="15" x14ac:dyDescent="0.3">
      <c r="A246" s="60">
        <v>44776</v>
      </c>
      <c r="B246" s="60">
        <v>44788</v>
      </c>
      <c r="C246" s="54">
        <f t="shared" si="55"/>
        <v>99276.51</v>
      </c>
      <c r="D246" s="54">
        <f t="shared" si="56"/>
        <v>99200.28</v>
      </c>
      <c r="E246" s="54">
        <f t="shared" si="57"/>
        <v>99280.107332337284</v>
      </c>
      <c r="F246" s="115">
        <f t="shared" si="54"/>
        <v>-5.78</v>
      </c>
      <c r="G246" s="51">
        <f>NETWORKDAYS(A246,B246-1,Feriados!$A$2:$A$2000)</f>
        <v>8</v>
      </c>
      <c r="H246" s="121">
        <v>25.7</v>
      </c>
      <c r="I246" s="57">
        <v>13.15</v>
      </c>
      <c r="J246" s="53">
        <f t="shared" si="61"/>
        <v>1.00049037490119</v>
      </c>
      <c r="K246" s="117">
        <f>ROUND(VLOOKUP(A246,'VNA e PRT'!B:G,6,FALSE),2)</f>
        <v>6429.44</v>
      </c>
      <c r="L246" s="117">
        <f>ROUND(VLOOKUP(A246,'VNA e PRT'!B:G,3,FALSE),2)</f>
        <v>-0.66</v>
      </c>
      <c r="M246" s="113">
        <f t="shared" si="58"/>
        <v>0.99968591890488301</v>
      </c>
      <c r="N246" s="113">
        <f t="shared" si="59"/>
        <v>1.0008047087401093</v>
      </c>
      <c r="O246" s="70">
        <f t="shared" si="60"/>
        <v>155679.85878104198</v>
      </c>
      <c r="P246" s="70">
        <f t="shared" si="62"/>
        <v>151798.71356813348</v>
      </c>
      <c r="Q246" s="70">
        <f t="shared" si="63"/>
        <v>159561.00399395061</v>
      </c>
      <c r="S246" s="57">
        <v>25.21</v>
      </c>
      <c r="T246" s="57">
        <v>13.15</v>
      </c>
      <c r="AA246" s="197"/>
    </row>
    <row r="247" spans="1:27" ht="15" x14ac:dyDescent="0.3">
      <c r="A247" s="60">
        <v>44777</v>
      </c>
      <c r="B247" s="60">
        <v>44788</v>
      </c>
      <c r="C247" s="54">
        <f t="shared" si="55"/>
        <v>99365.119999999995</v>
      </c>
      <c r="D247" s="54">
        <f t="shared" si="56"/>
        <v>99276.51</v>
      </c>
      <c r="E247" s="54">
        <f t="shared" si="57"/>
        <v>99356.563064990332</v>
      </c>
      <c r="F247" s="115">
        <f t="shared" si="54"/>
        <v>13.74</v>
      </c>
      <c r="G247" s="51">
        <f>NETWORKDAYS(A247,B247-1,Feriados!$A$2:$A$2000)</f>
        <v>7</v>
      </c>
      <c r="H247" s="121">
        <v>25.77</v>
      </c>
      <c r="I247" s="57">
        <v>13.15</v>
      </c>
      <c r="J247" s="53">
        <f t="shared" si="61"/>
        <v>1.00049037490119</v>
      </c>
      <c r="K247" s="117">
        <f>ROUND(VLOOKUP(A247,'VNA e PRT'!B:G,6,FALSE),2)</f>
        <v>6427.41</v>
      </c>
      <c r="L247" s="117">
        <f>ROUND(VLOOKUP(A247,'VNA e PRT'!B:G,3,FALSE),2)</f>
        <v>-0.66</v>
      </c>
      <c r="M247" s="113">
        <f t="shared" si="58"/>
        <v>0.99968426488154505</v>
      </c>
      <c r="N247" s="113">
        <f t="shared" si="59"/>
        <v>1.0008063646172729</v>
      </c>
      <c r="O247" s="70">
        <f t="shared" si="60"/>
        <v>155756.20027640901</v>
      </c>
      <c r="P247" s="70">
        <f t="shared" si="62"/>
        <v>151859.41184730022</v>
      </c>
      <c r="Q247" s="70">
        <f t="shared" si="63"/>
        <v>159652.9887055179</v>
      </c>
      <c r="S247" s="57">
        <v>25.7</v>
      </c>
      <c r="T247" s="57">
        <v>13.15</v>
      </c>
      <c r="AA247" s="197"/>
    </row>
    <row r="248" spans="1:27" ht="15" x14ac:dyDescent="0.3">
      <c r="A248" s="60">
        <v>44778</v>
      </c>
      <c r="B248" s="60">
        <v>44788</v>
      </c>
      <c r="C248" s="54">
        <f t="shared" si="55"/>
        <v>99454.82</v>
      </c>
      <c r="D248" s="54">
        <f t="shared" si="56"/>
        <v>99365.119999999995</v>
      </c>
      <c r="E248" s="54">
        <f t="shared" si="57"/>
        <v>99446.994419666909</v>
      </c>
      <c r="F248" s="115">
        <f t="shared" si="54"/>
        <v>12.57</v>
      </c>
      <c r="G248" s="51">
        <f>NETWORKDAYS(A248,B248-1,Feriados!$A$2:$A$2000)</f>
        <v>6</v>
      </c>
      <c r="H248" s="121">
        <v>25.81</v>
      </c>
      <c r="I248" s="57">
        <v>13.65</v>
      </c>
      <c r="J248" s="53">
        <f t="shared" si="61"/>
        <v>1.0005078803732601</v>
      </c>
      <c r="K248" s="117">
        <f>ROUND(VLOOKUP(A248,'VNA e PRT'!B:G,6,FALSE),2)</f>
        <v>6425.38</v>
      </c>
      <c r="L248" s="117">
        <f>ROUND(VLOOKUP(A248,'VNA e PRT'!B:G,3,FALSE),2)</f>
        <v>-0.66</v>
      </c>
      <c r="M248" s="113">
        <f t="shared" si="58"/>
        <v>0.99968416516139502</v>
      </c>
      <c r="N248" s="113">
        <f t="shared" si="59"/>
        <v>1.000823975452019</v>
      </c>
      <c r="O248" s="70">
        <f t="shared" si="60"/>
        <v>155832.57920772929</v>
      </c>
      <c r="P248" s="70">
        <f t="shared" si="62"/>
        <v>151921.30989137958</v>
      </c>
      <c r="Q248" s="70">
        <f t="shared" si="63"/>
        <v>159743.84852407905</v>
      </c>
      <c r="S248" s="57">
        <v>25.77</v>
      </c>
      <c r="T248" s="57">
        <v>13.65</v>
      </c>
      <c r="AA248" s="197"/>
    </row>
    <row r="249" spans="1:27" ht="15" x14ac:dyDescent="0.3">
      <c r="A249" s="60">
        <v>44781</v>
      </c>
      <c r="B249" s="60">
        <v>44788</v>
      </c>
      <c r="C249" s="54">
        <f t="shared" si="55"/>
        <v>99548.77</v>
      </c>
      <c r="D249" s="54">
        <f t="shared" si="56"/>
        <v>99454.82</v>
      </c>
      <c r="E249" s="54">
        <f t="shared" si="57"/>
        <v>99536.623304887427</v>
      </c>
      <c r="F249" s="115">
        <f t="shared" si="54"/>
        <v>19.5</v>
      </c>
      <c r="G249" s="51">
        <f>NETWORKDAYS(A249,B249-1,Feriados!$A$2:$A$2000)</f>
        <v>5</v>
      </c>
      <c r="H249" s="121">
        <v>25.6</v>
      </c>
      <c r="I249" s="57">
        <v>13.65</v>
      </c>
      <c r="J249" s="53">
        <f t="shared" si="61"/>
        <v>1.0005078803732601</v>
      </c>
      <c r="K249" s="117">
        <f>ROUND(VLOOKUP(A249,'VNA e PRT'!B:G,6,FALSE),2)</f>
        <v>6423.36</v>
      </c>
      <c r="L249" s="117">
        <f>ROUND(VLOOKUP(A249,'VNA e PRT'!B:G,3,FALSE),2)</f>
        <v>-0.66</v>
      </c>
      <c r="M249" s="113">
        <f t="shared" si="58"/>
        <v>0.99968562170641995</v>
      </c>
      <c r="N249" s="113">
        <f t="shared" si="59"/>
        <v>1.0008225172484091</v>
      </c>
      <c r="O249" s="70">
        <f t="shared" si="60"/>
        <v>155911.7235162234</v>
      </c>
      <c r="P249" s="70">
        <f t="shared" si="62"/>
        <v>151978.96774295339</v>
      </c>
      <c r="Q249" s="70">
        <f t="shared" si="63"/>
        <v>159844.47928949347</v>
      </c>
      <c r="S249" s="57">
        <v>25.81</v>
      </c>
      <c r="T249" s="57">
        <v>13.65</v>
      </c>
      <c r="AA249" s="197"/>
    </row>
    <row r="250" spans="1:27" ht="15" x14ac:dyDescent="0.3">
      <c r="A250" s="60">
        <v>44782</v>
      </c>
      <c r="B250" s="60">
        <v>44788</v>
      </c>
      <c r="C250" s="54">
        <f t="shared" si="55"/>
        <v>99667.45</v>
      </c>
      <c r="D250" s="54">
        <f t="shared" si="56"/>
        <v>99548.77</v>
      </c>
      <c r="E250" s="54">
        <f t="shared" si="57"/>
        <v>99647.109638161826</v>
      </c>
      <c r="F250" s="115">
        <f t="shared" si="54"/>
        <v>32.64</v>
      </c>
      <c r="G250" s="51">
        <f>NETWORKDAYS(A250,B250-1,Feriados!$A$2:$A$2000)</f>
        <v>4</v>
      </c>
      <c r="H250" s="121">
        <v>23.35</v>
      </c>
      <c r="I250" s="57">
        <v>13.65</v>
      </c>
      <c r="J250" s="53">
        <f t="shared" si="61"/>
        <v>1.0005078803732601</v>
      </c>
      <c r="K250" s="117">
        <f>ROUND(VLOOKUP(A250,'VNA e PRT'!B:G,6,FALSE),2)</f>
        <v>6420.28</v>
      </c>
      <c r="L250" s="117">
        <f>ROUND(VLOOKUP(A250,'VNA e PRT'!B:G,3,FALSE),2)</f>
        <v>-0.68</v>
      </c>
      <c r="M250" s="113">
        <f t="shared" si="58"/>
        <v>0.999520500174364</v>
      </c>
      <c r="N250" s="113">
        <f t="shared" si="59"/>
        <v>1.0009878538746568</v>
      </c>
      <c r="O250" s="70">
        <f t="shared" si="60"/>
        <v>155990.90802055845</v>
      </c>
      <c r="P250" s="70">
        <f t="shared" si="62"/>
        <v>152023.51487781835</v>
      </c>
      <c r="Q250" s="70">
        <f t="shared" si="63"/>
        <v>159958.3011632986</v>
      </c>
      <c r="S250" s="57">
        <v>25.6</v>
      </c>
      <c r="T250" s="57">
        <v>13.65</v>
      </c>
      <c r="AA250" s="197"/>
    </row>
    <row r="251" spans="1:27" ht="15" x14ac:dyDescent="0.3">
      <c r="A251" s="60">
        <v>44783</v>
      </c>
      <c r="B251" s="60">
        <v>44788</v>
      </c>
      <c r="C251" s="54">
        <f t="shared" si="55"/>
        <v>99750</v>
      </c>
      <c r="D251" s="54">
        <f t="shared" si="56"/>
        <v>99667.45</v>
      </c>
      <c r="E251" s="54">
        <f t="shared" si="57"/>
        <v>99750.385614210216</v>
      </c>
      <c r="F251" s="115">
        <f t="shared" si="54"/>
        <v>-0.61</v>
      </c>
      <c r="G251" s="51">
        <f>NETWORKDAYS(A251,B251-1,Feriados!$A$2:$A$2000)</f>
        <v>3</v>
      </c>
      <c r="H251" s="121">
        <v>23.4</v>
      </c>
      <c r="I251" s="57">
        <v>13.65</v>
      </c>
      <c r="J251" s="53">
        <f t="shared" si="61"/>
        <v>1.0005078803732601</v>
      </c>
      <c r="K251" s="117">
        <f>ROUND(VLOOKUP(A251,'VNA e PRT'!B:G,6,FALSE),2)</f>
        <v>6418.2</v>
      </c>
      <c r="L251" s="117">
        <f>ROUND(VLOOKUP(A251,'VNA e PRT'!B:G,3,FALSE),2)</f>
        <v>-0.68</v>
      </c>
      <c r="M251" s="113">
        <f t="shared" si="58"/>
        <v>0.99967602659074095</v>
      </c>
      <c r="N251" s="113">
        <f t="shared" si="59"/>
        <v>1.0008321233683637</v>
      </c>
      <c r="O251" s="70">
        <f t="shared" si="60"/>
        <v>156070.13274114911</v>
      </c>
      <c r="P251" s="70">
        <f t="shared" si="62"/>
        <v>152101.3346372988</v>
      </c>
      <c r="Q251" s="70">
        <f t="shared" si="63"/>
        <v>160038.93084499947</v>
      </c>
      <c r="S251" s="57">
        <v>23.35</v>
      </c>
      <c r="T251" s="57">
        <v>13.65</v>
      </c>
      <c r="AA251" s="197"/>
    </row>
    <row r="252" spans="1:27" ht="15" x14ac:dyDescent="0.3">
      <c r="A252" s="60">
        <v>44784</v>
      </c>
      <c r="B252" s="60">
        <v>44788</v>
      </c>
      <c r="C252" s="54">
        <f t="shared" si="55"/>
        <v>99833.59</v>
      </c>
      <c r="D252" s="54">
        <f t="shared" si="56"/>
        <v>99750</v>
      </c>
      <c r="E252" s="54">
        <f t="shared" si="57"/>
        <v>99833.170388555227</v>
      </c>
      <c r="F252" s="115">
        <f t="shared" si="54"/>
        <v>0.67</v>
      </c>
      <c r="G252" s="51">
        <f>NETWORKDAYS(A252,B252-1,Feriados!$A$2:$A$2000)</f>
        <v>2</v>
      </c>
      <c r="H252" s="121">
        <v>23.35</v>
      </c>
      <c r="I252" s="57">
        <v>13.65</v>
      </c>
      <c r="J252" s="53">
        <f t="shared" si="61"/>
        <v>1.0005078803732601</v>
      </c>
      <c r="K252" s="117">
        <f>ROUND(VLOOKUP(A252,'VNA e PRT'!B:G,6,FALSE),2)</f>
        <v>6416.11</v>
      </c>
      <c r="L252" s="117">
        <f>ROUND(VLOOKUP(A252,'VNA e PRT'!B:G,3,FALSE),2)</f>
        <v>-0.68</v>
      </c>
      <c r="M252" s="113">
        <f t="shared" si="58"/>
        <v>0.99967436352871497</v>
      </c>
      <c r="N252" s="113">
        <f t="shared" si="59"/>
        <v>1.0008337883564433</v>
      </c>
      <c r="O252" s="70">
        <f t="shared" si="60"/>
        <v>156149.39769842045</v>
      </c>
      <c r="P252" s="70">
        <f t="shared" si="62"/>
        <v>152177.91391990773</v>
      </c>
      <c r="Q252" s="70">
        <f t="shared" si="63"/>
        <v>160120.88147693319</v>
      </c>
      <c r="S252" s="57">
        <v>23.4</v>
      </c>
      <c r="T252" s="57">
        <v>13.65</v>
      </c>
      <c r="AA252" s="197"/>
    </row>
    <row r="253" spans="1:27" ht="15" x14ac:dyDescent="0.3">
      <c r="A253" s="60">
        <v>44785</v>
      </c>
      <c r="B253" s="60">
        <v>44788</v>
      </c>
      <c r="C253" s="54">
        <f t="shared" si="55"/>
        <v>99916.63</v>
      </c>
      <c r="D253" s="54">
        <f t="shared" si="56"/>
        <v>99833.59</v>
      </c>
      <c r="E253" s="54">
        <f t="shared" si="57"/>
        <v>99916.68490835288</v>
      </c>
      <c r="F253" s="115">
        <f t="shared" si="54"/>
        <v>-0.08</v>
      </c>
      <c r="G253" s="51">
        <f>NETWORKDAYS(A253,B253-1,Feriados!$A$2:$A$2000)</f>
        <v>1</v>
      </c>
      <c r="H253" s="121">
        <v>23.39</v>
      </c>
      <c r="I253" s="57">
        <v>13.65</v>
      </c>
      <c r="J253" s="53">
        <f t="shared" si="61"/>
        <v>1.0005078803732601</v>
      </c>
      <c r="K253" s="117">
        <f>ROUND(VLOOKUP(A253,'VNA e PRT'!B:G,6,FALSE),2)</f>
        <v>6414.03</v>
      </c>
      <c r="L253" s="117">
        <f>ROUND(VLOOKUP(A253,'VNA e PRT'!B:G,3,FALSE),2)</f>
        <v>-0.68</v>
      </c>
      <c r="M253" s="113">
        <f t="shared" si="58"/>
        <v>0.99967581603183198</v>
      </c>
      <c r="N253" s="113">
        <f t="shared" si="59"/>
        <v>1.0008323341708225</v>
      </c>
      <c r="O253" s="70">
        <f t="shared" si="60"/>
        <v>156228.70291280787</v>
      </c>
      <c r="P253" s="70">
        <f t="shared" si="62"/>
        <v>152255.28209563129</v>
      </c>
      <c r="Q253" s="70">
        <f t="shared" si="63"/>
        <v>160202.12372998445</v>
      </c>
      <c r="S253" s="57">
        <v>23.35</v>
      </c>
      <c r="T253" s="57">
        <v>13.65</v>
      </c>
      <c r="AA253" s="197"/>
    </row>
    <row r="254" spans="1:27" ht="15" x14ac:dyDescent="0.3">
      <c r="A254" s="60">
        <v>44788</v>
      </c>
      <c r="B254" s="60">
        <v>44788</v>
      </c>
      <c r="C254" s="54">
        <f t="shared" si="55"/>
        <v>100000</v>
      </c>
      <c r="D254" s="54">
        <f t="shared" si="56"/>
        <v>99916.63</v>
      </c>
      <c r="E254" s="54">
        <f t="shared" si="57"/>
        <v>99999.804541703706</v>
      </c>
      <c r="F254" s="115">
        <f t="shared" si="54"/>
        <v>0.31</v>
      </c>
      <c r="G254" s="51">
        <v>0</v>
      </c>
      <c r="H254" s="121">
        <f>+H253</f>
        <v>23.39</v>
      </c>
      <c r="I254" s="57">
        <v>13.65</v>
      </c>
      <c r="J254" s="53">
        <f t="shared" si="61"/>
        <v>1.0005078803732601</v>
      </c>
      <c r="K254" s="117">
        <f>ROUND(VLOOKUP(A254,'VNA e PRT'!B:G,6,FALSE),2)</f>
        <v>6411.95</v>
      </c>
      <c r="L254" s="117">
        <f>ROUND(VLOOKUP(A254,'VNA e PRT'!B:G,3,FALSE),2)</f>
        <v>-0.68</v>
      </c>
      <c r="M254" s="113">
        <f t="shared" si="58"/>
        <v>0.99967571090250595</v>
      </c>
      <c r="N254" s="113">
        <f t="shared" si="59"/>
        <v>1.0008324394217829</v>
      </c>
      <c r="O254" s="70">
        <f t="shared" si="60"/>
        <v>156308.04840475717</v>
      </c>
      <c r="P254" s="70">
        <f t="shared" si="62"/>
        <v>152332.29956513285</v>
      </c>
      <c r="Q254" s="70">
        <f t="shared" si="63"/>
        <v>160283.79724438151</v>
      </c>
      <c r="S254" s="57">
        <v>23.39</v>
      </c>
      <c r="T254" s="57">
        <v>13.65</v>
      </c>
      <c r="AA254" s="197"/>
    </row>
    <row r="255" spans="1:27" ht="14.4" x14ac:dyDescent="0.3">
      <c r="H255"/>
      <c r="O255" s="77">
        <f>+O254-O2</f>
        <v>13898.544825657154</v>
      </c>
      <c r="P255" s="77">
        <f>+P254-P2</f>
        <v>9922.795986032841</v>
      </c>
      <c r="Q255" s="77">
        <f>+Q254-Q2</f>
        <v>17874.293665281497</v>
      </c>
    </row>
    <row r="256" spans="1:27" ht="23.4" x14ac:dyDescent="0.3">
      <c r="F256" s="66">
        <f>SUM(F3:F255)</f>
        <v>3700.1699999999987</v>
      </c>
      <c r="H256" s="62">
        <f>+H254-H3</f>
        <v>21.22</v>
      </c>
      <c r="I256" s="62">
        <f>+I254-I3</f>
        <v>8.5</v>
      </c>
      <c r="O256" s="71">
        <f>+O254/O2-1</f>
        <v>9.7595627232401228E-2</v>
      </c>
      <c r="P256" s="71">
        <f>+P254/P2-1</f>
        <v>6.9677905874598656E-2</v>
      </c>
      <c r="Q256" s="71">
        <f>+Q254/Q2-1</f>
        <v>0.12551334859020402</v>
      </c>
    </row>
    <row r="257" spans="6:17" x14ac:dyDescent="0.3">
      <c r="I257" s="2"/>
    </row>
    <row r="258" spans="6:17" x14ac:dyDescent="0.3">
      <c r="F258" s="2"/>
      <c r="G258" s="2"/>
      <c r="H258" s="139" t="s">
        <v>352</v>
      </c>
      <c r="I258" s="139" t="s">
        <v>350</v>
      </c>
      <c r="J258" s="139" t="s">
        <v>352</v>
      </c>
      <c r="K258" s="139" t="s">
        <v>350</v>
      </c>
      <c r="L258" s="139" t="s">
        <v>352</v>
      </c>
      <c r="M258" s="139" t="s">
        <v>350</v>
      </c>
      <c r="O258" s="74">
        <f>+P256-O256</f>
        <v>-2.7917721357802572E-2</v>
      </c>
      <c r="P258" s="78" t="s">
        <v>127</v>
      </c>
      <c r="Q258" s="74">
        <f>+Q256-O256</f>
        <v>2.7917721357802794E-2</v>
      </c>
    </row>
    <row r="259" spans="6:17" ht="23.4" x14ac:dyDescent="0.3">
      <c r="F259" s="2"/>
      <c r="G259" s="2"/>
      <c r="H259" s="137">
        <f>+((I259)^(252/F262)-1)*100</f>
        <v>9.7595627232403004</v>
      </c>
      <c r="I259">
        <f>PRODUCT(J2:J253)</f>
        <v>1.097595627232403</v>
      </c>
      <c r="J259" s="137">
        <f>+((K259)^(252/F262)-1)*100</f>
        <v>10.117228019322599</v>
      </c>
      <c r="K259">
        <f>PRODUCT(M3:M254)</f>
        <v>1.101172280193226</v>
      </c>
      <c r="L259" s="137">
        <f>+((M259)^(252/F262)-1)*100</f>
        <v>-0.29405209399409049</v>
      </c>
      <c r="M259">
        <f>PRODUCT(N3:N254)</f>
        <v>0.9970594790600591</v>
      </c>
    </row>
    <row r="260" spans="6:17" x14ac:dyDescent="0.3">
      <c r="F260" s="2"/>
      <c r="G260" s="2"/>
      <c r="H260"/>
      <c r="O260" s="139" t="s">
        <v>352</v>
      </c>
      <c r="P260" s="139" t="s">
        <v>352</v>
      </c>
      <c r="Q260" s="139" t="s">
        <v>352</v>
      </c>
    </row>
    <row r="261" spans="6:17" ht="23.4" x14ac:dyDescent="0.3">
      <c r="F261" s="138" t="s">
        <v>364</v>
      </c>
      <c r="G261" s="2"/>
      <c r="H261"/>
      <c r="J261" s="136">
        <v>5</v>
      </c>
      <c r="K261">
        <f>+(1+J261/100)^(252/F262)</f>
        <v>1.05</v>
      </c>
      <c r="O261" s="194">
        <f>(((O256+1)^(252/252))-1)</f>
        <v>9.7595627232401228E-2</v>
      </c>
      <c r="P261" s="194">
        <f>(((P256+1)^(252/252))-1)</f>
        <v>6.9677905874598656E-2</v>
      </c>
      <c r="Q261" s="194">
        <f>(((Q256+1)^(252/252))-1)</f>
        <v>0.12551334859020402</v>
      </c>
    </row>
    <row r="262" spans="6:17" x14ac:dyDescent="0.3">
      <c r="F262" s="196">
        <f>NETWORKDAYS(A2,A254-1,Feriados!$A$1:$A$936)</f>
        <v>252</v>
      </c>
      <c r="G262" s="2"/>
      <c r="H262"/>
    </row>
    <row r="263" spans="6:17" ht="23.4" x14ac:dyDescent="0.3">
      <c r="F263" s="2"/>
      <c r="G263" s="2"/>
      <c r="H263"/>
      <c r="J263" s="137">
        <f>+((K263)^(252/F262)-1)*100</f>
        <v>15.623089420288739</v>
      </c>
      <c r="K263">
        <f>+K261*K259</f>
        <v>1.1562308942028874</v>
      </c>
      <c r="O263" s="194">
        <f>(((O258+1)^(252/252))-1)</f>
        <v>-2.7917721357802572E-2</v>
      </c>
      <c r="P263" s="195"/>
      <c r="Q263" s="194">
        <f>(((Q258+1)^(252/252))-1)</f>
        <v>2.7917721357802794E-2</v>
      </c>
    </row>
  </sheetData>
  <pageMargins left="0.511811024" right="0.511811024" top="0.78740157499999996" bottom="0.78740157499999996" header="0.31496062000000002" footer="0.31496062000000002"/>
  <pageSetup paperSize="9" orientation="portrait" r:id="rId1"/>
  <headerFooter>
    <oddHeader>&amp;R&amp;"Calibri"&amp;10&amp;K000000#interna&amp;1#</oddHeader>
  </headerFooter>
  <ignoredErrors>
    <ignoredError sqref="D99" formula="1"/>
  </ignoredErrors>
  <drawing r:id="rId2"/>
  <legacyDrawing r:id="rId3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L748"/>
  <sheetViews>
    <sheetView zoomScale="130" zoomScaleNormal="130" workbookViewId="0">
      <pane xSplit="3" ySplit="1" topLeftCell="AB60" activePane="bottomRight" state="frozen"/>
      <selection pane="topRight" activeCell="D1" sqref="D1"/>
      <selection pane="bottomLeft" activeCell="A2" sqref="A2"/>
      <selection pane="bottomRight" activeCell="AG75" sqref="AG75"/>
    </sheetView>
  </sheetViews>
  <sheetFormatPr defaultRowHeight="14.4" x14ac:dyDescent="0.3"/>
  <cols>
    <col min="1" max="1" width="3.6640625" bestFit="1" customWidth="1"/>
    <col min="2" max="2" width="12.44140625" customWidth="1"/>
    <col min="3" max="3" width="14.44140625" customWidth="1"/>
    <col min="4" max="4" width="10.5546875" bestFit="1" customWidth="1"/>
    <col min="5" max="5" width="11.44140625" customWidth="1"/>
    <col min="6" max="6" width="7.6640625" bestFit="1" customWidth="1"/>
    <col min="7" max="7" width="18" bestFit="1" customWidth="1"/>
    <col min="8" max="8" width="9.88671875" customWidth="1"/>
    <col min="9" max="9" width="14.6640625" customWidth="1"/>
    <col min="10" max="10" width="11" bestFit="1" customWidth="1"/>
    <col min="11" max="11" width="10.5546875" bestFit="1" customWidth="1"/>
    <col min="12" max="12" width="9.88671875" customWidth="1"/>
    <col min="13" max="13" width="7.6640625" bestFit="1" customWidth="1"/>
    <col min="14" max="14" width="14.5546875" customWidth="1"/>
    <col min="15" max="15" width="15.109375" bestFit="1" customWidth="1"/>
    <col min="16" max="16" width="15.109375" customWidth="1"/>
    <col min="17" max="17" width="9.88671875" customWidth="1"/>
    <col min="18" max="18" width="10.5546875" bestFit="1" customWidth="1"/>
    <col min="19" max="19" width="10.5546875" customWidth="1"/>
    <col min="20" max="22" width="11.109375" customWidth="1"/>
    <col min="23" max="23" width="19.109375" bestFit="1" customWidth="1"/>
    <col min="24" max="24" width="12.109375" bestFit="1" customWidth="1"/>
    <col min="26" max="26" width="9.109375" bestFit="1" customWidth="1"/>
    <col min="27" max="27" width="10.44140625" bestFit="1" customWidth="1"/>
    <col min="28" max="28" width="19.44140625" bestFit="1" customWidth="1"/>
    <col min="29" max="29" width="9.33203125" bestFit="1" customWidth="1"/>
    <col min="30" max="30" width="12.109375" bestFit="1" customWidth="1"/>
    <col min="31" max="31" width="7.33203125" bestFit="1" customWidth="1"/>
    <col min="32" max="33" width="10.44140625" customWidth="1"/>
    <col min="34" max="34" width="11.109375" bestFit="1" customWidth="1"/>
    <col min="36" max="36" width="11.21875" customWidth="1"/>
    <col min="37" max="37" width="9.88671875" customWidth="1"/>
    <col min="38" max="38" width="15.109375" bestFit="1" customWidth="1"/>
  </cols>
  <sheetData>
    <row r="1" spans="1:38" ht="21" thickBot="1" x14ac:dyDescent="0.35">
      <c r="A1" s="79" t="s">
        <v>345</v>
      </c>
      <c r="B1" s="79" t="s">
        <v>0</v>
      </c>
      <c r="C1" s="80" t="s">
        <v>6</v>
      </c>
      <c r="D1" s="80" t="s">
        <v>1</v>
      </c>
      <c r="E1" s="80" t="s">
        <v>342</v>
      </c>
      <c r="F1" s="80" t="s">
        <v>128</v>
      </c>
      <c r="G1" s="80" t="s">
        <v>335</v>
      </c>
      <c r="H1" s="80" t="s">
        <v>129</v>
      </c>
      <c r="I1" s="80" t="s">
        <v>336</v>
      </c>
      <c r="J1" s="80" t="s">
        <v>132</v>
      </c>
      <c r="K1" s="81" t="s">
        <v>349</v>
      </c>
      <c r="L1" s="81" t="s">
        <v>334</v>
      </c>
      <c r="M1" s="81" t="s">
        <v>128</v>
      </c>
      <c r="N1" s="81" t="s">
        <v>337</v>
      </c>
      <c r="O1" s="82" t="s">
        <v>130</v>
      </c>
      <c r="P1" s="81" t="s">
        <v>347</v>
      </c>
      <c r="Q1" s="81" t="s">
        <v>338</v>
      </c>
      <c r="R1" s="81" t="s">
        <v>178</v>
      </c>
      <c r="S1" s="81" t="s">
        <v>355</v>
      </c>
      <c r="T1" s="79" t="s">
        <v>346</v>
      </c>
      <c r="U1" s="140" t="s">
        <v>350</v>
      </c>
      <c r="V1" s="95" t="s">
        <v>348</v>
      </c>
      <c r="W1" s="95" t="s">
        <v>339</v>
      </c>
      <c r="X1" s="95" t="s">
        <v>132</v>
      </c>
      <c r="Y1" s="87" t="s">
        <v>133</v>
      </c>
      <c r="Z1" s="87" t="s">
        <v>128</v>
      </c>
      <c r="AA1" s="87" t="s">
        <v>343</v>
      </c>
      <c r="AB1" s="87" t="s">
        <v>340</v>
      </c>
      <c r="AC1" s="80" t="s">
        <v>131</v>
      </c>
      <c r="AD1" s="80" t="s">
        <v>132</v>
      </c>
      <c r="AF1" s="87" t="s">
        <v>367</v>
      </c>
      <c r="AG1" s="223" t="s">
        <v>338</v>
      </c>
      <c r="AH1" s="223" t="s">
        <v>368</v>
      </c>
      <c r="AJ1" s="80" t="s">
        <v>341</v>
      </c>
      <c r="AK1" s="81" t="s">
        <v>334</v>
      </c>
      <c r="AL1" s="82" t="s">
        <v>130</v>
      </c>
    </row>
    <row r="2" spans="1:38" ht="15" thickTop="1" x14ac:dyDescent="0.3">
      <c r="A2" s="133">
        <v>0</v>
      </c>
      <c r="B2" s="90">
        <v>44804</v>
      </c>
      <c r="C2" s="90">
        <v>45519</v>
      </c>
      <c r="D2" s="91">
        <f>NETWORKDAYS(B2,C2-1,Feriados!$A$2:$A$2000)</f>
        <v>490</v>
      </c>
      <c r="E2" s="130">
        <v>6.64</v>
      </c>
      <c r="F2" s="92"/>
      <c r="G2" s="132">
        <f>TRUNC((100/(1+E2/100)^(D2/252)/100)*VLOOKUP(B2,'VNA e PRT'!B:C,2,FALSE),2)</f>
        <v>3498.22</v>
      </c>
      <c r="H2" s="207">
        <f>ROUND(100*G2,2)</f>
        <v>349822</v>
      </c>
      <c r="I2" s="92"/>
      <c r="J2" s="93">
        <v>1</v>
      </c>
      <c r="K2" s="90">
        <v>45519</v>
      </c>
      <c r="L2" s="130">
        <v>6.64</v>
      </c>
      <c r="M2" s="92"/>
      <c r="N2" s="92">
        <f t="shared" ref="N2:N33" si="0">ROUND((100000/(L2/100+1)^(D2/252)),2)</f>
        <v>88249.21</v>
      </c>
      <c r="O2" s="86">
        <v>13.65</v>
      </c>
      <c r="P2" s="92"/>
      <c r="Q2" s="94"/>
      <c r="R2" s="92">
        <f>VLOOKUP(B2,'VNA e PRT'!B:G,6,FALSE)</f>
        <v>6400.3953251067005</v>
      </c>
      <c r="S2" s="239">
        <f>VLOOKUP(B2,'VNA e PRT'!B:G,3,FALSE)</f>
        <v>-0.33</v>
      </c>
      <c r="T2" s="92">
        <f>+N2*0.00025*R2</f>
        <v>141207.45778208988</v>
      </c>
      <c r="U2" s="141">
        <f>+H2/T2</f>
        <v>2.4773620706339905</v>
      </c>
      <c r="V2" s="206">
        <f>+H2</f>
        <v>349822</v>
      </c>
      <c r="W2" s="134"/>
      <c r="X2" s="135">
        <v>1</v>
      </c>
      <c r="Y2" s="99">
        <f t="shared" ref="Y2:Y33" si="1">+E2-L2</f>
        <v>0</v>
      </c>
      <c r="Z2" s="92"/>
      <c r="AA2" s="208">
        <f t="shared" ref="AA2:AA33" si="2">+H2</f>
        <v>349822</v>
      </c>
      <c r="AB2" s="210" t="s">
        <v>365</v>
      </c>
      <c r="AC2" s="92"/>
      <c r="AD2" s="93">
        <v>1</v>
      </c>
      <c r="AF2" s="92"/>
      <c r="AG2" s="92"/>
      <c r="AH2" s="92"/>
      <c r="AJ2" s="130">
        <v>6.76</v>
      </c>
      <c r="AK2" s="86">
        <v>6.64</v>
      </c>
      <c r="AL2" s="86">
        <v>13.65</v>
      </c>
    </row>
    <row r="3" spans="1:38" x14ac:dyDescent="0.3">
      <c r="A3" s="133">
        <f>+A2+1</f>
        <v>1</v>
      </c>
      <c r="B3" s="90">
        <v>44805</v>
      </c>
      <c r="C3" s="90">
        <f>+C2</f>
        <v>45519</v>
      </c>
      <c r="D3" s="91">
        <f>NETWORKDAYS(B3,C3-1,Feriados!$A$2:$A$2000)</f>
        <v>489</v>
      </c>
      <c r="E3" s="130">
        <v>6.58</v>
      </c>
      <c r="F3" s="92">
        <f t="shared" ref="F3:F61" si="3">+E3-E2</f>
        <v>-5.9999999999999609E-2</v>
      </c>
      <c r="G3" s="132">
        <f>TRUNC((100/(1+E3/100)^(D3/252)/100)*VLOOKUP(B3,'VNA e PRT'!B:C,2,FALSE),2)</f>
        <v>3502.41</v>
      </c>
      <c r="H3" s="92">
        <f>ROUND(100*G3,2)</f>
        <v>350241</v>
      </c>
      <c r="I3" s="92">
        <f t="shared" ref="I3:I34" si="4">+(G3/G2-1)*100</f>
        <v>0.11977519995882702</v>
      </c>
      <c r="J3" s="93">
        <f>+J2*(1+I3/100)</f>
        <v>1.0011977519995883</v>
      </c>
      <c r="K3" s="90">
        <f t="shared" ref="K3:K61" si="5">+K2</f>
        <v>45519</v>
      </c>
      <c r="L3" s="130">
        <v>6.58</v>
      </c>
      <c r="M3" s="92">
        <f t="shared" ref="M3:M65" si="6">+L3-L2</f>
        <v>-5.9999999999999609E-2</v>
      </c>
      <c r="N3" s="92">
        <f t="shared" si="0"/>
        <v>88368.18</v>
      </c>
      <c r="O3" s="86">
        <v>13.65</v>
      </c>
      <c r="P3" s="92">
        <f>ROUND(N2*(((1+O3/100)^(1/252))/(R3/R2)),2)</f>
        <v>88307.3</v>
      </c>
      <c r="Q3" s="94">
        <f>+(N3-P3)*0.00025*R3</f>
        <v>97.39938167716069</v>
      </c>
      <c r="R3" s="92">
        <f>VLOOKUP(B3,'VNA e PRT'!B:G,6,FALSE)</f>
        <v>6399.4337501430036</v>
      </c>
      <c r="S3" s="239">
        <f>VLOOKUP(B3,'VNA e PRT'!B:G,3,FALSE)</f>
        <v>-0.33</v>
      </c>
      <c r="T3" s="92">
        <f t="shared" ref="T3:T65" si="7">+N3*0.00025*R3</f>
        <v>141376.57838267798</v>
      </c>
      <c r="U3" s="141">
        <f t="shared" ref="U3:U65" si="8">+H3/T3</f>
        <v>2.4773622618873121</v>
      </c>
      <c r="V3" s="134">
        <f>((1+O2/100)^(1/252)*V2)+(Q3*U3)</f>
        <v>350240.9612804334</v>
      </c>
      <c r="W3" s="134">
        <f>+(V3/V2-1)*100</f>
        <v>0.11976413159646704</v>
      </c>
      <c r="X3" s="135">
        <f>+X2*(1+W3/100)</f>
        <v>1.0011976413159647</v>
      </c>
      <c r="Y3" s="99">
        <f t="shared" si="1"/>
        <v>0</v>
      </c>
      <c r="Z3" s="97">
        <f t="shared" ref="Z3:Z65" si="9">+Y3-Y2</f>
        <v>0</v>
      </c>
      <c r="AA3" s="92">
        <f t="shared" si="2"/>
        <v>350241</v>
      </c>
      <c r="AB3" s="92">
        <f t="shared" ref="AB3:AB34" si="10">+AA3-(Q3*U3)</f>
        <v>349999.70644750184</v>
      </c>
      <c r="AC3" s="211">
        <f t="shared" ref="AC3:AC34" si="11">+(AB3/AA2-1)*100</f>
        <v>5.0799105688570378E-2</v>
      </c>
      <c r="AD3" s="93">
        <f>+AD2*(1+AC3/100)</f>
        <v>1.0005079910568857</v>
      </c>
      <c r="AF3" s="92">
        <f t="shared" ref="AF3:AF34" si="12">+AA3-AA2</f>
        <v>419</v>
      </c>
      <c r="AG3" s="92">
        <f t="shared" ref="AG3:AG34" si="13">-(Q3*U3)</f>
        <v>-241.29355249815643</v>
      </c>
      <c r="AH3" s="92">
        <f>+AF3+AG3</f>
        <v>177.70644750184357</v>
      </c>
      <c r="AJ3" s="130">
        <v>6.69</v>
      </c>
      <c r="AK3" s="86">
        <v>6.58</v>
      </c>
      <c r="AL3" s="86">
        <v>13.65</v>
      </c>
    </row>
    <row r="4" spans="1:38" x14ac:dyDescent="0.3">
      <c r="A4" s="133">
        <f t="shared" ref="A4:A65" si="14">+A3+1</f>
        <v>2</v>
      </c>
      <c r="B4" s="90">
        <v>44806</v>
      </c>
      <c r="C4" s="90">
        <f t="shared" ref="C4:C65" si="15">+C3</f>
        <v>45519</v>
      </c>
      <c r="D4" s="91">
        <f>NETWORKDAYS(B4,C4-1,Feriados!$A$2:$A$2000)</f>
        <v>488</v>
      </c>
      <c r="E4" s="130">
        <v>6.56</v>
      </c>
      <c r="F4" s="92">
        <f t="shared" si="3"/>
        <v>-2.0000000000000462E-2</v>
      </c>
      <c r="G4" s="132">
        <f>TRUNC((100/(1+E4/100)^(D4/252)/100)*VLOOKUP(B4,'VNA e PRT'!B:C,2,FALSE),2)</f>
        <v>3504.04</v>
      </c>
      <c r="H4" s="92">
        <f t="shared" ref="H4:H65" si="16">ROUND(100*G4,2)</f>
        <v>350404</v>
      </c>
      <c r="I4" s="92">
        <f t="shared" si="4"/>
        <v>4.6539382882082592E-2</v>
      </c>
      <c r="J4" s="93">
        <f t="shared" ref="J4:J65" si="17">+J3*(1+I4/100)</f>
        <v>1.0016637032547981</v>
      </c>
      <c r="K4" s="90">
        <f t="shared" si="5"/>
        <v>45519</v>
      </c>
      <c r="L4" s="130">
        <v>6.56</v>
      </c>
      <c r="M4" s="92">
        <f t="shared" si="6"/>
        <v>-2.0000000000000462E-2</v>
      </c>
      <c r="N4" s="92">
        <f t="shared" si="0"/>
        <v>88422.66</v>
      </c>
      <c r="O4" s="86">
        <v>13.65</v>
      </c>
      <c r="P4" s="92">
        <f t="shared" ref="P4:P65" si="18">ROUND(N3*(((1+O4/100)^(1/252))/(R4/R3)),2)</f>
        <v>88426.35</v>
      </c>
      <c r="Q4" s="94">
        <f t="shared" ref="Q4:Q65" si="19">+(N4-P4)*0.00025*R3</f>
        <v>-5.9034776345106463</v>
      </c>
      <c r="R4" s="92">
        <f>VLOOKUP(B4,'VNA e PRT'!B:G,6,FALSE)</f>
        <v>6398.4723204950042</v>
      </c>
      <c r="S4" s="239">
        <f>VLOOKUP(B4,'VNA e PRT'!B:G,3,FALSE)</f>
        <v>-0.33</v>
      </c>
      <c r="T4" s="92">
        <f t="shared" si="7"/>
        <v>141442.48562863522</v>
      </c>
      <c r="U4" s="141">
        <f t="shared" si="8"/>
        <v>2.4773603096880268</v>
      </c>
      <c r="V4" s="134">
        <f t="shared" ref="V4:V65" si="20">((1+O3/100)^(1/252)*V3)+(Q4*U4)</f>
        <v>350404.21674939926</v>
      </c>
      <c r="W4" s="134">
        <f t="shared" ref="W4:W65" si="21">+(V4/V3-1)*100</f>
        <v>4.6612328943207437E-2</v>
      </c>
      <c r="X4" s="135">
        <f t="shared" ref="X4:X65" si="22">+X3*(1+W4/100)</f>
        <v>1.0016643228539066</v>
      </c>
      <c r="Y4" s="99">
        <f t="shared" si="1"/>
        <v>0</v>
      </c>
      <c r="Z4" s="97">
        <f t="shared" si="9"/>
        <v>0</v>
      </c>
      <c r="AA4" s="92">
        <f t="shared" si="2"/>
        <v>350404</v>
      </c>
      <c r="AB4" s="92">
        <f t="shared" si="10"/>
        <v>350418.62504118087</v>
      </c>
      <c r="AC4" s="211">
        <f t="shared" si="11"/>
        <v>5.0715090803432616E-2</v>
      </c>
      <c r="AD4" s="93">
        <f t="shared" ref="AD4:AD65" si="23">+AD3*(1+AC4/100)</f>
        <v>1.0010153995930458</v>
      </c>
      <c r="AF4" s="92">
        <f t="shared" si="12"/>
        <v>163</v>
      </c>
      <c r="AG4" s="92">
        <f t="shared" si="13"/>
        <v>14.625041180867635</v>
      </c>
      <c r="AH4" s="92">
        <f t="shared" ref="AH4:AH65" si="24">+AF4+AG4</f>
        <v>177.62504118086764</v>
      </c>
      <c r="AJ4" s="130">
        <v>6.6000000000000005</v>
      </c>
      <c r="AK4" s="86">
        <v>6.56</v>
      </c>
      <c r="AL4" s="86">
        <v>13.65</v>
      </c>
    </row>
    <row r="5" spans="1:38" x14ac:dyDescent="0.3">
      <c r="A5" s="133">
        <f t="shared" si="14"/>
        <v>3</v>
      </c>
      <c r="B5" s="90">
        <v>44809</v>
      </c>
      <c r="C5" s="90">
        <f t="shared" si="15"/>
        <v>45519</v>
      </c>
      <c r="D5" s="91">
        <f>NETWORKDAYS(B5,C5-1,Feriados!$A$2:$A$2000)</f>
        <v>487</v>
      </c>
      <c r="E5" s="130">
        <v>6.57</v>
      </c>
      <c r="F5" s="92">
        <f t="shared" si="3"/>
        <v>1.0000000000000675E-2</v>
      </c>
      <c r="G5" s="132">
        <f>TRUNC((100/(1+E5/100)^(D5/252)/100)*VLOOKUP(B5,'VNA e PRT'!B:C,2,FALSE),2)</f>
        <v>3503.76</v>
      </c>
      <c r="H5" s="92">
        <f t="shared" si="16"/>
        <v>350376</v>
      </c>
      <c r="I5" s="92">
        <f t="shared" si="4"/>
        <v>-7.9907763609887716E-3</v>
      </c>
      <c r="J5" s="93">
        <f t="shared" si="17"/>
        <v>1.0015836625483818</v>
      </c>
      <c r="K5" s="90">
        <f t="shared" si="5"/>
        <v>45519</v>
      </c>
      <c r="L5" s="130">
        <v>6.57</v>
      </c>
      <c r="M5" s="92">
        <f t="shared" si="6"/>
        <v>1.0000000000000675E-2</v>
      </c>
      <c r="N5" s="92">
        <f t="shared" si="0"/>
        <v>88428.92</v>
      </c>
      <c r="O5" s="86">
        <v>13.65</v>
      </c>
      <c r="P5" s="92">
        <f t="shared" si="18"/>
        <v>88480.86</v>
      </c>
      <c r="Q5" s="94">
        <f t="shared" si="19"/>
        <v>-83.08416308163136</v>
      </c>
      <c r="R5" s="92">
        <f>VLOOKUP(B5,'VNA e PRT'!B:G,6,FALSE)</f>
        <v>6397.5110345480844</v>
      </c>
      <c r="S5" s="239">
        <f>VLOOKUP(B5,'VNA e PRT'!B:G,3,FALSE)</f>
        <v>-0.33</v>
      </c>
      <c r="T5" s="92">
        <f t="shared" si="7"/>
        <v>141431.24786829244</v>
      </c>
      <c r="U5" s="141">
        <f t="shared" si="8"/>
        <v>2.4773591782650954</v>
      </c>
      <c r="V5" s="134">
        <f t="shared" si="20"/>
        <v>350376.35085981578</v>
      </c>
      <c r="W5" s="134">
        <f t="shared" si="21"/>
        <v>-7.9524983580325781E-3</v>
      </c>
      <c r="X5" s="135">
        <f t="shared" si="22"/>
        <v>1.0015846655150786</v>
      </c>
      <c r="Y5" s="99">
        <f t="shared" si="1"/>
        <v>0</v>
      </c>
      <c r="Z5" s="97">
        <f t="shared" si="9"/>
        <v>0</v>
      </c>
      <c r="AA5" s="92">
        <f t="shared" si="2"/>
        <v>350376</v>
      </c>
      <c r="AB5" s="92">
        <f t="shared" si="10"/>
        <v>350581.82931397873</v>
      </c>
      <c r="AC5" s="211">
        <f t="shared" si="11"/>
        <v>5.0749795658355801E-2</v>
      </c>
      <c r="AD5" s="93">
        <f t="shared" si="23"/>
        <v>1.0015234128628479</v>
      </c>
      <c r="AF5" s="92">
        <f t="shared" si="12"/>
        <v>-28</v>
      </c>
      <c r="AG5" s="92">
        <f t="shared" si="13"/>
        <v>205.82931397875345</v>
      </c>
      <c r="AH5" s="92">
        <f t="shared" si="24"/>
        <v>177.82931397875345</v>
      </c>
      <c r="AJ5" s="130">
        <v>6.59</v>
      </c>
      <c r="AK5" s="86">
        <v>6.57</v>
      </c>
      <c r="AL5" s="86">
        <v>13.65</v>
      </c>
    </row>
    <row r="6" spans="1:38" x14ac:dyDescent="0.3">
      <c r="A6" s="133">
        <f t="shared" si="14"/>
        <v>4</v>
      </c>
      <c r="B6" s="90">
        <v>44810</v>
      </c>
      <c r="C6" s="90">
        <f t="shared" si="15"/>
        <v>45519</v>
      </c>
      <c r="D6" s="91">
        <f>NETWORKDAYS(B6,C6-1,Feriados!$A$2:$A$2000)</f>
        <v>486</v>
      </c>
      <c r="E6" s="130">
        <v>6.77</v>
      </c>
      <c r="F6" s="92">
        <f t="shared" si="3"/>
        <v>0.19999999999999929</v>
      </c>
      <c r="G6" s="132">
        <f>TRUNC((100/(1+E6/100)^(D6/252)/100)*VLOOKUP(B6,'VNA e PRT'!B:C,2,FALSE),2)</f>
        <v>3491.47</v>
      </c>
      <c r="H6" s="92">
        <f t="shared" si="16"/>
        <v>349147</v>
      </c>
      <c r="I6" s="92">
        <f t="shared" si="4"/>
        <v>-0.3507660342032648</v>
      </c>
      <c r="J6" s="93">
        <f t="shared" si="17"/>
        <v>0.99807044725603311</v>
      </c>
      <c r="K6" s="90">
        <f t="shared" si="5"/>
        <v>45519</v>
      </c>
      <c r="L6" s="130">
        <v>6.77</v>
      </c>
      <c r="M6" s="92">
        <f t="shared" si="6"/>
        <v>0.19999999999999929</v>
      </c>
      <c r="N6" s="92">
        <f t="shared" si="0"/>
        <v>88132</v>
      </c>
      <c r="O6" s="86">
        <v>13.65</v>
      </c>
      <c r="P6" s="92">
        <f t="shared" si="18"/>
        <v>88487.13</v>
      </c>
      <c r="Q6" s="94">
        <f t="shared" si="19"/>
        <v>-567.98702342477281</v>
      </c>
      <c r="R6" s="92">
        <f>VLOOKUP(B6,'VNA e PRT'!B:G,6,FALSE)</f>
        <v>6396.5498939168619</v>
      </c>
      <c r="S6" s="239">
        <f>VLOOKUP(B6,'VNA e PRT'!B:G,3,FALSE)</f>
        <v>-0.33</v>
      </c>
      <c r="T6" s="92">
        <f t="shared" si="7"/>
        <v>140935.18381267024</v>
      </c>
      <c r="U6" s="141">
        <f t="shared" si="8"/>
        <v>2.4773586733606776</v>
      </c>
      <c r="V6" s="134">
        <f t="shared" si="20"/>
        <v>349147.19255283492</v>
      </c>
      <c r="W6" s="134">
        <f t="shared" si="21"/>
        <v>-0.3508108649355246</v>
      </c>
      <c r="X6" s="135">
        <f t="shared" si="22"/>
        <v>0.99807099768692364</v>
      </c>
      <c r="Y6" s="99">
        <f t="shared" si="1"/>
        <v>0</v>
      </c>
      <c r="Z6" s="97">
        <f t="shared" si="9"/>
        <v>0</v>
      </c>
      <c r="AA6" s="92">
        <f t="shared" si="2"/>
        <v>349147</v>
      </c>
      <c r="AB6" s="92">
        <f t="shared" si="10"/>
        <v>350554.10757883766</v>
      </c>
      <c r="AC6" s="211">
        <f t="shared" si="11"/>
        <v>5.0833270211914083E-2</v>
      </c>
      <c r="AD6" s="93">
        <f t="shared" si="23"/>
        <v>1.002032519965544</v>
      </c>
      <c r="AF6" s="92">
        <f t="shared" si="12"/>
        <v>-1229</v>
      </c>
      <c r="AG6" s="92">
        <f t="shared" si="13"/>
        <v>1407.1075788376752</v>
      </c>
      <c r="AH6" s="92">
        <f t="shared" si="24"/>
        <v>178.10757883767519</v>
      </c>
      <c r="AJ6" s="130">
        <v>6.7</v>
      </c>
      <c r="AK6" s="86">
        <v>6.77</v>
      </c>
      <c r="AL6" s="86">
        <v>13.65</v>
      </c>
    </row>
    <row r="7" spans="1:38" x14ac:dyDescent="0.3">
      <c r="A7" s="133">
        <f t="shared" si="14"/>
        <v>5</v>
      </c>
      <c r="B7" s="90">
        <v>44812</v>
      </c>
      <c r="C7" s="90">
        <f t="shared" si="15"/>
        <v>45519</v>
      </c>
      <c r="D7" s="91">
        <f>NETWORKDAYS(B7,C7-1,Feriados!$A$2:$A$2000)</f>
        <v>485</v>
      </c>
      <c r="E7" s="130">
        <v>6.76</v>
      </c>
      <c r="F7" s="92">
        <f t="shared" si="3"/>
        <v>-9.9999999999997868E-3</v>
      </c>
      <c r="G7" s="132">
        <f>TRUNC((100/(1+E7/100)^(D7/252)/100)*VLOOKUP(B7,'VNA e PRT'!B:C,2,FALSE),2)</f>
        <v>3492.49</v>
      </c>
      <c r="H7" s="92">
        <f t="shared" si="16"/>
        <v>349249</v>
      </c>
      <c r="I7" s="92">
        <f t="shared" si="4"/>
        <v>2.9214055970694375E-2</v>
      </c>
      <c r="J7" s="93">
        <f t="shared" si="17"/>
        <v>0.99836202411512143</v>
      </c>
      <c r="K7" s="90">
        <f t="shared" si="5"/>
        <v>45519</v>
      </c>
      <c r="L7" s="130">
        <v>6.76</v>
      </c>
      <c r="M7" s="92">
        <f t="shared" si="6"/>
        <v>-9.9999999999997868E-3</v>
      </c>
      <c r="N7" s="92">
        <f t="shared" si="0"/>
        <v>88170.8</v>
      </c>
      <c r="O7" s="86">
        <v>13.65</v>
      </c>
      <c r="P7" s="92">
        <f t="shared" si="18"/>
        <v>88190.01</v>
      </c>
      <c r="Q7" s="94">
        <f t="shared" si="19"/>
        <v>-30.7194308655227</v>
      </c>
      <c r="R7" s="92">
        <f>VLOOKUP(B7,'VNA e PRT'!B:G,6,FALSE)</f>
        <v>6395.5888969867183</v>
      </c>
      <c r="S7" s="239">
        <f>VLOOKUP(B7,'VNA e PRT'!B:G,3,FALSE)</f>
        <v>-0.33</v>
      </c>
      <c r="T7" s="92">
        <f t="shared" si="7"/>
        <v>140976.04737960914</v>
      </c>
      <c r="U7" s="141">
        <f t="shared" si="8"/>
        <v>2.4773641089508627</v>
      </c>
      <c r="V7" s="134">
        <f t="shared" si="20"/>
        <v>349248.41434383835</v>
      </c>
      <c r="W7" s="134">
        <f t="shared" si="21"/>
        <v>2.8991151343160659E-2</v>
      </c>
      <c r="X7" s="135">
        <f t="shared" si="22"/>
        <v>0.99836034996037526</v>
      </c>
      <c r="Y7" s="99">
        <f t="shared" si="1"/>
        <v>0</v>
      </c>
      <c r="Z7" s="97">
        <f t="shared" si="9"/>
        <v>0</v>
      </c>
      <c r="AA7" s="92">
        <f t="shared" si="2"/>
        <v>349249</v>
      </c>
      <c r="AB7" s="92">
        <f t="shared" si="10"/>
        <v>349325.10321547365</v>
      </c>
      <c r="AC7" s="211">
        <f t="shared" si="11"/>
        <v>5.1010953974595097E-2</v>
      </c>
      <c r="AD7" s="93">
        <f t="shared" si="23"/>
        <v>1.002543666313114</v>
      </c>
      <c r="AF7" s="92">
        <f t="shared" si="12"/>
        <v>102</v>
      </c>
      <c r="AG7" s="92">
        <f t="shared" si="13"/>
        <v>76.103215473643274</v>
      </c>
      <c r="AH7" s="92">
        <f t="shared" si="24"/>
        <v>178.10321547364327</v>
      </c>
      <c r="AJ7" s="130">
        <v>6.76</v>
      </c>
      <c r="AK7" s="86">
        <v>6.76</v>
      </c>
      <c r="AL7" s="86">
        <v>13.65</v>
      </c>
    </row>
    <row r="8" spans="1:38" x14ac:dyDescent="0.3">
      <c r="A8" s="133">
        <f t="shared" si="14"/>
        <v>6</v>
      </c>
      <c r="B8" s="90">
        <v>44813</v>
      </c>
      <c r="C8" s="90">
        <f t="shared" si="15"/>
        <v>45519</v>
      </c>
      <c r="D8" s="91">
        <f>NETWORKDAYS(B8,C8-1,Feriados!$A$2:$A$2000)</f>
        <v>484</v>
      </c>
      <c r="E8" s="130">
        <v>6.68</v>
      </c>
      <c r="F8" s="92">
        <f t="shared" si="3"/>
        <v>-8.0000000000000071E-2</v>
      </c>
      <c r="G8" s="132">
        <f>TRUNC((100/(1+E8/100)^(D8/252)/100)*VLOOKUP(B8,'VNA e PRT'!B:C,2,FALSE),2)</f>
        <v>3497.04</v>
      </c>
      <c r="H8" s="92">
        <f t="shared" si="16"/>
        <v>349704</v>
      </c>
      <c r="I8" s="92">
        <f t="shared" si="4"/>
        <v>0.13027954267585962</v>
      </c>
      <c r="J8" s="93">
        <f t="shared" si="17"/>
        <v>0.99966268559438809</v>
      </c>
      <c r="K8" s="90">
        <f t="shared" si="5"/>
        <v>45519</v>
      </c>
      <c r="L8" s="130">
        <v>6.68</v>
      </c>
      <c r="M8" s="92">
        <f t="shared" si="6"/>
        <v>-8.0000000000000071E-2</v>
      </c>
      <c r="N8" s="92">
        <f t="shared" si="0"/>
        <v>88320.76</v>
      </c>
      <c r="O8" s="86">
        <v>13.65</v>
      </c>
      <c r="P8" s="92">
        <f t="shared" si="18"/>
        <v>88250.54</v>
      </c>
      <c r="Q8" s="94">
        <f t="shared" si="19"/>
        <v>112.27456308660371</v>
      </c>
      <c r="R8" s="92">
        <f>VLOOKUP(B8,'VNA e PRT'!B:G,6,FALSE)</f>
        <v>6393.0556859252274</v>
      </c>
      <c r="S8" s="239">
        <f>VLOOKUP(B8,'VNA e PRT'!B:G,3,FALSE)</f>
        <v>-0.36</v>
      </c>
      <c r="T8" s="92">
        <f t="shared" si="7"/>
        <v>141159.88422580934</v>
      </c>
      <c r="U8" s="141">
        <f t="shared" si="8"/>
        <v>2.4773610570591624</v>
      </c>
      <c r="V8" s="134">
        <f t="shared" si="20"/>
        <v>349703.93538916553</v>
      </c>
      <c r="W8" s="134">
        <f t="shared" si="21"/>
        <v>0.13042895160539913</v>
      </c>
      <c r="X8" s="135">
        <f t="shared" si="22"/>
        <v>0.99966250089807263</v>
      </c>
      <c r="Y8" s="99">
        <f t="shared" si="1"/>
        <v>0</v>
      </c>
      <c r="Z8" s="97">
        <f t="shared" si="9"/>
        <v>0</v>
      </c>
      <c r="AA8" s="92">
        <f t="shared" si="2"/>
        <v>349704</v>
      </c>
      <c r="AB8" s="92">
        <f t="shared" si="10"/>
        <v>349425.85536971089</v>
      </c>
      <c r="AC8" s="211">
        <f t="shared" si="11"/>
        <v>5.0638761946597555E-2</v>
      </c>
      <c r="AD8" s="93">
        <f t="shared" si="23"/>
        <v>1.003051342013709</v>
      </c>
      <c r="AF8" s="92">
        <f t="shared" si="12"/>
        <v>455</v>
      </c>
      <c r="AG8" s="92">
        <f t="shared" si="13"/>
        <v>-278.14463028908415</v>
      </c>
      <c r="AH8" s="92">
        <f t="shared" si="24"/>
        <v>176.85536971091585</v>
      </c>
      <c r="AJ8" s="130">
        <v>6.8199999999999994</v>
      </c>
      <c r="AK8" s="86">
        <v>6.68</v>
      </c>
      <c r="AL8" s="86">
        <v>13.65</v>
      </c>
    </row>
    <row r="9" spans="1:38" x14ac:dyDescent="0.3">
      <c r="A9" s="133">
        <f t="shared" si="14"/>
        <v>7</v>
      </c>
      <c r="B9" s="90">
        <v>44816</v>
      </c>
      <c r="C9" s="90">
        <f t="shared" si="15"/>
        <v>45519</v>
      </c>
      <c r="D9" s="91">
        <f>NETWORKDAYS(B9,C9-1,Feriados!$A$2:$A$2000)</f>
        <v>483</v>
      </c>
      <c r="E9" s="130">
        <v>6.75</v>
      </c>
      <c r="F9" s="92">
        <f t="shared" si="3"/>
        <v>7.0000000000000284E-2</v>
      </c>
      <c r="G9" s="132">
        <f>TRUNC((100/(1+E9/100)^(D9/252)/100)*VLOOKUP(B9,'VNA e PRT'!B:C,2,FALSE),2)</f>
        <v>3492.97</v>
      </c>
      <c r="H9" s="92">
        <f t="shared" si="16"/>
        <v>349297</v>
      </c>
      <c r="I9" s="92">
        <f t="shared" si="4"/>
        <v>-0.11638414201725622</v>
      </c>
      <c r="J9" s="93">
        <f t="shared" si="17"/>
        <v>0.99849923675469243</v>
      </c>
      <c r="K9" s="90">
        <f t="shared" si="5"/>
        <v>45519</v>
      </c>
      <c r="L9" s="130">
        <v>6.75</v>
      </c>
      <c r="M9" s="92">
        <f t="shared" si="6"/>
        <v>7.0000000000000284E-2</v>
      </c>
      <c r="N9" s="92">
        <f t="shared" si="0"/>
        <v>88232.43</v>
      </c>
      <c r="O9" s="86">
        <v>13.65</v>
      </c>
      <c r="P9" s="92">
        <f t="shared" si="18"/>
        <v>88380.1</v>
      </c>
      <c r="Q9" s="94">
        <f t="shared" si="19"/>
        <v>-236.01563328516508</v>
      </c>
      <c r="R9" s="92">
        <f>VLOOKUP(B9,'VNA e PRT'!B:G,6,FALSE)</f>
        <v>6392.0078854701951</v>
      </c>
      <c r="S9" s="239">
        <f>VLOOKUP(B9,'VNA e PRT'!B:G,3,FALSE)</f>
        <v>-0.36</v>
      </c>
      <c r="T9" s="92">
        <f t="shared" si="7"/>
        <v>140995.59707854924</v>
      </c>
      <c r="U9" s="141">
        <f t="shared" si="8"/>
        <v>2.4773610469935821</v>
      </c>
      <c r="V9" s="134">
        <f t="shared" si="20"/>
        <v>349296.84721801995</v>
      </c>
      <c r="W9" s="134">
        <f t="shared" si="21"/>
        <v>-0.1164093766038321</v>
      </c>
      <c r="X9" s="135">
        <f t="shared" si="22"/>
        <v>0.99849880001263491</v>
      </c>
      <c r="Y9" s="99">
        <f t="shared" si="1"/>
        <v>0</v>
      </c>
      <c r="Z9" s="97">
        <f t="shared" si="9"/>
        <v>0</v>
      </c>
      <c r="AA9" s="92">
        <f t="shared" si="2"/>
        <v>349297</v>
      </c>
      <c r="AB9" s="92">
        <f t="shared" si="10"/>
        <v>349881.69593638217</v>
      </c>
      <c r="AC9" s="211">
        <f t="shared" si="11"/>
        <v>5.081324102160778E-2</v>
      </c>
      <c r="AD9" s="93">
        <f t="shared" si="23"/>
        <v>1.0035610249096969</v>
      </c>
      <c r="AF9" s="92">
        <f t="shared" si="12"/>
        <v>-407</v>
      </c>
      <c r="AG9" s="92">
        <f t="shared" si="13"/>
        <v>584.69593638218987</v>
      </c>
      <c r="AH9" s="92">
        <f t="shared" si="24"/>
        <v>177.69593638218987</v>
      </c>
      <c r="AJ9" s="130">
        <v>6.7099999999999991</v>
      </c>
      <c r="AK9" s="86">
        <v>6.75</v>
      </c>
      <c r="AL9" s="86">
        <v>13.65</v>
      </c>
    </row>
    <row r="10" spans="1:38" x14ac:dyDescent="0.3">
      <c r="A10" s="133">
        <f t="shared" si="14"/>
        <v>8</v>
      </c>
      <c r="B10" s="90">
        <v>44817</v>
      </c>
      <c r="C10" s="90">
        <f t="shared" si="15"/>
        <v>45519</v>
      </c>
      <c r="D10" s="91">
        <f>NETWORKDAYS(B10,C10-1,Feriados!$A$2:$A$2000)</f>
        <v>482</v>
      </c>
      <c r="E10" s="130">
        <v>6.74</v>
      </c>
      <c r="F10" s="92">
        <f t="shared" si="3"/>
        <v>-9.9999999999997868E-3</v>
      </c>
      <c r="G10" s="132">
        <f>TRUNC((100/(1+E10/100)^(D10/252)/100)*VLOOKUP(B10,'VNA e PRT'!B:C,2,FALSE),2)</f>
        <v>3493.93</v>
      </c>
      <c r="H10" s="92">
        <f t="shared" si="16"/>
        <v>349393</v>
      </c>
      <c r="I10" s="92">
        <f t="shared" si="4"/>
        <v>2.7483774552883311E-2</v>
      </c>
      <c r="J10" s="93">
        <f t="shared" si="17"/>
        <v>0.99877366203383433</v>
      </c>
      <c r="K10" s="90">
        <f t="shared" si="5"/>
        <v>45519</v>
      </c>
      <c r="L10" s="130">
        <v>6.74</v>
      </c>
      <c r="M10" s="92">
        <f t="shared" si="6"/>
        <v>-9.9999999999997868E-3</v>
      </c>
      <c r="N10" s="92">
        <f t="shared" si="0"/>
        <v>88271.12</v>
      </c>
      <c r="O10" s="86">
        <v>13.65</v>
      </c>
      <c r="P10" s="92">
        <f t="shared" si="18"/>
        <v>88291.71</v>
      </c>
      <c r="Q10" s="94">
        <f t="shared" si="19"/>
        <v>-32.902860590475505</v>
      </c>
      <c r="R10" s="92">
        <f>VLOOKUP(B10,'VNA e PRT'!B:G,6,FALSE)</f>
        <v>6390.9602561647625</v>
      </c>
      <c r="S10" s="239">
        <f>VLOOKUP(B10,'VNA e PRT'!B:G,3,FALSE)</f>
        <v>-0.36</v>
      </c>
      <c r="T10" s="92">
        <f t="shared" si="7"/>
        <v>141034.30492178761</v>
      </c>
      <c r="U10" s="141">
        <f t="shared" si="8"/>
        <v>2.4773618035254641</v>
      </c>
      <c r="V10" s="134">
        <f t="shared" si="20"/>
        <v>349392.73594111064</v>
      </c>
      <c r="W10" s="134">
        <f t="shared" si="21"/>
        <v>2.7451929169819422E-2</v>
      </c>
      <c r="X10" s="135">
        <f t="shared" si="22"/>
        <v>0.99877290719597589</v>
      </c>
      <c r="Y10" s="99">
        <f t="shared" si="1"/>
        <v>0</v>
      </c>
      <c r="Z10" s="97">
        <f t="shared" si="9"/>
        <v>0</v>
      </c>
      <c r="AA10" s="92">
        <f t="shared" si="2"/>
        <v>349393</v>
      </c>
      <c r="AB10" s="92">
        <f t="shared" si="10"/>
        <v>349474.51229005359</v>
      </c>
      <c r="AC10" s="211">
        <f t="shared" si="11"/>
        <v>5.0819872502083641E-2</v>
      </c>
      <c r="AD10" s="93">
        <f t="shared" si="23"/>
        <v>1.0040710333430367</v>
      </c>
      <c r="AF10" s="92">
        <f t="shared" si="12"/>
        <v>96</v>
      </c>
      <c r="AG10" s="92">
        <f t="shared" si="13"/>
        <v>81.512290053567312</v>
      </c>
      <c r="AH10" s="92">
        <f t="shared" si="24"/>
        <v>177.51229005356731</v>
      </c>
      <c r="AJ10" s="130">
        <v>6.8600000000000012</v>
      </c>
      <c r="AK10" s="86">
        <v>6.74</v>
      </c>
      <c r="AL10" s="86">
        <v>13.65</v>
      </c>
    </row>
    <row r="11" spans="1:38" x14ac:dyDescent="0.3">
      <c r="A11" s="133">
        <f t="shared" si="14"/>
        <v>9</v>
      </c>
      <c r="B11" s="90">
        <v>44818</v>
      </c>
      <c r="C11" s="90">
        <f t="shared" si="15"/>
        <v>45519</v>
      </c>
      <c r="D11" s="91">
        <f>NETWORKDAYS(B11,C11-1,Feriados!$A$2:$A$2000)</f>
        <v>481</v>
      </c>
      <c r="E11" s="130">
        <v>6.6</v>
      </c>
      <c r="F11" s="92">
        <f t="shared" si="3"/>
        <v>-0.14000000000000057</v>
      </c>
      <c r="G11" s="132">
        <f>TRUNC((100/(1+E11/100)^(D11/252)/100)*VLOOKUP(B11,'VNA e PRT'!B:C,2,FALSE),2)</f>
        <v>3503.03</v>
      </c>
      <c r="H11" s="92">
        <f t="shared" si="16"/>
        <v>350303</v>
      </c>
      <c r="I11" s="92">
        <f t="shared" si="4"/>
        <v>0.26045169765851472</v>
      </c>
      <c r="J11" s="93">
        <f t="shared" si="17"/>
        <v>1.0013749849923677</v>
      </c>
      <c r="K11" s="90">
        <f t="shared" si="5"/>
        <v>45519</v>
      </c>
      <c r="L11" s="130">
        <v>6.6</v>
      </c>
      <c r="M11" s="92">
        <f t="shared" si="6"/>
        <v>-0.14000000000000057</v>
      </c>
      <c r="N11" s="92">
        <f t="shared" si="0"/>
        <v>88515.43</v>
      </c>
      <c r="O11" s="86">
        <v>13.65</v>
      </c>
      <c r="P11" s="92">
        <f t="shared" si="18"/>
        <v>88330.43</v>
      </c>
      <c r="Q11" s="94">
        <f t="shared" si="19"/>
        <v>295.58191184762029</v>
      </c>
      <c r="R11" s="92">
        <f>VLOOKUP(B11,'VNA e PRT'!B:G,6,FALSE)</f>
        <v>6389.9127996235493</v>
      </c>
      <c r="S11" s="239">
        <f>VLOOKUP(B11,'VNA e PRT'!B:G,3,FALSE)</f>
        <v>-0.36</v>
      </c>
      <c r="T11" s="92">
        <f t="shared" si="7"/>
        <v>141401.46978029556</v>
      </c>
      <c r="U11" s="141">
        <f t="shared" si="8"/>
        <v>2.4773646309637942</v>
      </c>
      <c r="V11" s="134">
        <f t="shared" si="20"/>
        <v>350302.44982821937</v>
      </c>
      <c r="W11" s="134">
        <f t="shared" si="21"/>
        <v>0.26037000587844084</v>
      </c>
      <c r="X11" s="135">
        <f t="shared" si="22"/>
        <v>1.0013734122731544</v>
      </c>
      <c r="Y11" s="99">
        <f t="shared" si="1"/>
        <v>0</v>
      </c>
      <c r="Z11" s="97">
        <f t="shared" si="9"/>
        <v>0</v>
      </c>
      <c r="AA11" s="92">
        <f t="shared" si="2"/>
        <v>350303</v>
      </c>
      <c r="AB11" s="92">
        <f t="shared" si="10"/>
        <v>349570.73582603602</v>
      </c>
      <c r="AC11" s="211">
        <f t="shared" si="11"/>
        <v>5.086988750089283E-2</v>
      </c>
      <c r="AD11" s="93">
        <f t="shared" si="23"/>
        <v>1.0045818031481273</v>
      </c>
      <c r="AF11" s="92">
        <f t="shared" si="12"/>
        <v>910</v>
      </c>
      <c r="AG11" s="92">
        <f t="shared" si="13"/>
        <v>-732.26417396395254</v>
      </c>
      <c r="AH11" s="92">
        <f t="shared" si="24"/>
        <v>177.73582603604746</v>
      </c>
      <c r="AJ11" s="130">
        <v>6.8499999999999988</v>
      </c>
      <c r="AK11" s="86">
        <v>6.6</v>
      </c>
      <c r="AL11" s="86">
        <v>13.65</v>
      </c>
    </row>
    <row r="12" spans="1:38" x14ac:dyDescent="0.3">
      <c r="A12" s="133">
        <f t="shared" si="14"/>
        <v>10</v>
      </c>
      <c r="B12" s="90">
        <v>44819</v>
      </c>
      <c r="C12" s="90">
        <f t="shared" si="15"/>
        <v>45519</v>
      </c>
      <c r="D12" s="91">
        <f>NETWORKDAYS(B12,C12-1,Feriados!$A$2:$A$2000)</f>
        <v>480</v>
      </c>
      <c r="E12" s="130">
        <v>6.77</v>
      </c>
      <c r="F12" s="92">
        <f t="shared" si="3"/>
        <v>0.16999999999999993</v>
      </c>
      <c r="G12" s="132">
        <f>TRUNC((100/(1+E12/100)^(D12/252)/100)*VLOOKUP(B12,'VNA e PRT'!B:C,2,FALSE),2)</f>
        <v>3492.72</v>
      </c>
      <c r="H12" s="92">
        <f t="shared" si="16"/>
        <v>349272</v>
      </c>
      <c r="I12" s="92">
        <f t="shared" si="4"/>
        <v>-0.29431663445647072</v>
      </c>
      <c r="J12" s="93">
        <f t="shared" si="17"/>
        <v>0.99842777183824916</v>
      </c>
      <c r="K12" s="90">
        <f t="shared" si="5"/>
        <v>45519</v>
      </c>
      <c r="L12" s="130">
        <v>6.77</v>
      </c>
      <c r="M12" s="92">
        <f t="shared" si="6"/>
        <v>0.16999999999999993</v>
      </c>
      <c r="N12" s="92">
        <f t="shared" si="0"/>
        <v>88269.56</v>
      </c>
      <c r="O12" s="86">
        <v>13.65</v>
      </c>
      <c r="P12" s="92">
        <f t="shared" si="18"/>
        <v>88574.9</v>
      </c>
      <c r="Q12" s="94">
        <f t="shared" si="19"/>
        <v>-487.77399355925803</v>
      </c>
      <c r="R12" s="92">
        <f>VLOOKUP(B12,'VNA e PRT'!B:G,6,FALSE)</f>
        <v>6388.8655142319349</v>
      </c>
      <c r="S12" s="239">
        <f>VLOOKUP(B12,'VNA e PRT'!B:G,3,FALSE)</f>
        <v>-0.36</v>
      </c>
      <c r="T12" s="92">
        <f t="shared" si="7"/>
        <v>140985.58696010665</v>
      </c>
      <c r="U12" s="141">
        <f t="shared" si="8"/>
        <v>2.4773596190285052</v>
      </c>
      <c r="V12" s="134">
        <f t="shared" si="20"/>
        <v>349271.96997233666</v>
      </c>
      <c r="W12" s="134">
        <f t="shared" si="21"/>
        <v>-0.29416861240565417</v>
      </c>
      <c r="X12" s="135">
        <f t="shared" si="22"/>
        <v>0.9984276860012713</v>
      </c>
      <c r="Y12" s="99">
        <f t="shared" si="1"/>
        <v>0</v>
      </c>
      <c r="Z12" s="97">
        <f t="shared" si="9"/>
        <v>0</v>
      </c>
      <c r="AA12" s="92">
        <f t="shared" si="2"/>
        <v>349272</v>
      </c>
      <c r="AB12" s="92">
        <f t="shared" si="10"/>
        <v>350480.39159485599</v>
      </c>
      <c r="AC12" s="211">
        <f t="shared" si="11"/>
        <v>5.0639473500369014E-2</v>
      </c>
      <c r="AD12" s="93">
        <f t="shared" si="23"/>
        <v>1.0050905180841221</v>
      </c>
      <c r="AF12" s="92">
        <f t="shared" si="12"/>
        <v>-1031</v>
      </c>
      <c r="AG12" s="92">
        <f t="shared" si="13"/>
        <v>1208.3915948559761</v>
      </c>
      <c r="AH12" s="92">
        <f t="shared" si="24"/>
        <v>177.39159485597611</v>
      </c>
      <c r="AJ12" s="130">
        <v>6.7</v>
      </c>
      <c r="AK12" s="86">
        <v>6.77</v>
      </c>
      <c r="AL12" s="86">
        <v>13.65</v>
      </c>
    </row>
    <row r="13" spans="1:38" x14ac:dyDescent="0.3">
      <c r="A13" s="133">
        <f t="shared" si="14"/>
        <v>11</v>
      </c>
      <c r="B13" s="90">
        <v>44820</v>
      </c>
      <c r="C13" s="90">
        <f t="shared" si="15"/>
        <v>45519</v>
      </c>
      <c r="D13" s="91">
        <f>NETWORKDAYS(B13,C13-1,Feriados!$A$2:$A$2000)</f>
        <v>479</v>
      </c>
      <c r="E13" s="130">
        <v>6.66</v>
      </c>
      <c r="F13" s="92">
        <f t="shared" si="3"/>
        <v>-0.10999999999999943</v>
      </c>
      <c r="G13" s="132">
        <f>TRUNC((100/(1+E13/100)^(D13/252)/100)*VLOOKUP(B13,'VNA e PRT'!B:C,2,FALSE),2)</f>
        <v>3500.28</v>
      </c>
      <c r="H13" s="92">
        <f t="shared" si="16"/>
        <v>350028</v>
      </c>
      <c r="I13" s="92">
        <f t="shared" si="4"/>
        <v>0.21645021645022577</v>
      </c>
      <c r="J13" s="93">
        <f t="shared" si="17"/>
        <v>1.0005888709114923</v>
      </c>
      <c r="K13" s="90">
        <f t="shared" si="5"/>
        <v>45519</v>
      </c>
      <c r="L13" s="130">
        <v>6.66</v>
      </c>
      <c r="M13" s="92">
        <f t="shared" si="6"/>
        <v>-0.10999999999999943</v>
      </c>
      <c r="N13" s="92">
        <f t="shared" si="0"/>
        <v>88465.67</v>
      </c>
      <c r="O13" s="86">
        <v>13.65</v>
      </c>
      <c r="P13" s="92">
        <f t="shared" si="18"/>
        <v>88319.44</v>
      </c>
      <c r="Q13" s="94">
        <f t="shared" si="19"/>
        <v>233.56095103652743</v>
      </c>
      <c r="R13" s="92">
        <f>VLOOKUP(B13,'VNA e PRT'!B:G,6,FALSE)</f>
        <v>6388.5002260887832</v>
      </c>
      <c r="S13" s="239">
        <f>VLOOKUP(B13,'VNA e PRT'!B:G,3,FALSE)</f>
        <v>-0.12</v>
      </c>
      <c r="T13" s="92">
        <f t="shared" si="7"/>
        <v>141290.73819902394</v>
      </c>
      <c r="U13" s="141">
        <f t="shared" si="8"/>
        <v>2.4773598359076168</v>
      </c>
      <c r="V13" s="134">
        <f t="shared" si="20"/>
        <v>350027.97287015041</v>
      </c>
      <c r="W13" s="134">
        <f t="shared" si="21"/>
        <v>0.21645106473147102</v>
      </c>
      <c r="X13" s="135">
        <f t="shared" si="22"/>
        <v>1.0005887933581947</v>
      </c>
      <c r="Y13" s="99">
        <f t="shared" si="1"/>
        <v>0</v>
      </c>
      <c r="Z13" s="97">
        <f t="shared" si="9"/>
        <v>0</v>
      </c>
      <c r="AA13" s="92">
        <f t="shared" si="2"/>
        <v>350028</v>
      </c>
      <c r="AB13" s="92">
        <f t="shared" si="10"/>
        <v>349449.38548066572</v>
      </c>
      <c r="AC13" s="211">
        <f t="shared" si="11"/>
        <v>5.0787203287327998E-2</v>
      </c>
      <c r="AD13" s="93">
        <f t="shared" si="23"/>
        <v>1.0056009754487631</v>
      </c>
      <c r="AF13" s="92">
        <f t="shared" si="12"/>
        <v>756</v>
      </c>
      <c r="AG13" s="92">
        <f t="shared" si="13"/>
        <v>-578.6145193342785</v>
      </c>
      <c r="AH13" s="92">
        <f t="shared" si="24"/>
        <v>177.3854806657215</v>
      </c>
      <c r="AJ13" s="130">
        <v>6.81</v>
      </c>
      <c r="AK13" s="86">
        <v>6.66</v>
      </c>
      <c r="AL13" s="86">
        <v>13.65</v>
      </c>
    </row>
    <row r="14" spans="1:38" x14ac:dyDescent="0.3">
      <c r="A14" s="133">
        <f t="shared" si="14"/>
        <v>12</v>
      </c>
      <c r="B14" s="90">
        <v>44823</v>
      </c>
      <c r="C14" s="90">
        <f t="shared" si="15"/>
        <v>45519</v>
      </c>
      <c r="D14" s="91">
        <f>NETWORKDAYS(B14,C14-1,Feriados!$A$2:$A$2000)</f>
        <v>478</v>
      </c>
      <c r="E14" s="130">
        <v>6.74</v>
      </c>
      <c r="F14" s="92">
        <f t="shared" si="3"/>
        <v>8.0000000000000071E-2</v>
      </c>
      <c r="G14" s="132">
        <f>TRUNC((100/(1+E14/100)^(D14/252)/100)*VLOOKUP(B14,'VNA e PRT'!B:C,2,FALSE),2)</f>
        <v>3496</v>
      </c>
      <c r="H14" s="92">
        <f t="shared" si="16"/>
        <v>349600</v>
      </c>
      <c r="I14" s="92">
        <f t="shared" si="4"/>
        <v>-0.12227593221114663</v>
      </c>
      <c r="J14" s="93">
        <f t="shared" si="17"/>
        <v>0.99936539154198423</v>
      </c>
      <c r="K14" s="90">
        <f t="shared" si="5"/>
        <v>45519</v>
      </c>
      <c r="L14" s="130">
        <v>6.74</v>
      </c>
      <c r="M14" s="92">
        <f t="shared" si="6"/>
        <v>8.0000000000000071E-2</v>
      </c>
      <c r="N14" s="92">
        <f t="shared" si="0"/>
        <v>88362.55</v>
      </c>
      <c r="O14" s="86">
        <v>13.65</v>
      </c>
      <c r="P14" s="92">
        <f t="shared" si="18"/>
        <v>88515.66</v>
      </c>
      <c r="Q14" s="94">
        <f t="shared" si="19"/>
        <v>-244.53581740411431</v>
      </c>
      <c r="R14" s="92">
        <f>VLOOKUP(B14,'VNA e PRT'!B:G,6,FALSE)</f>
        <v>6388.1349605502955</v>
      </c>
      <c r="S14" s="239">
        <f>VLOOKUP(B14,'VNA e PRT'!B:G,3,FALSE)</f>
        <v>-0.12</v>
      </c>
      <c r="T14" s="92">
        <f t="shared" si="7"/>
        <v>141117.97371459339</v>
      </c>
      <c r="U14" s="141">
        <f t="shared" si="8"/>
        <v>2.477359834453511</v>
      </c>
      <c r="V14" s="134">
        <f t="shared" si="20"/>
        <v>349599.94199554157</v>
      </c>
      <c r="W14" s="134">
        <f t="shared" si="21"/>
        <v>-0.12228476230030649</v>
      </c>
      <c r="X14" s="135">
        <f t="shared" si="22"/>
        <v>0.99936522573063313</v>
      </c>
      <c r="Y14" s="99">
        <f t="shared" si="1"/>
        <v>0</v>
      </c>
      <c r="Z14" s="97">
        <f t="shared" si="9"/>
        <v>0</v>
      </c>
      <c r="AA14" s="92">
        <f t="shared" si="2"/>
        <v>349600</v>
      </c>
      <c r="AB14" s="92">
        <f t="shared" si="10"/>
        <v>350205.80321212223</v>
      </c>
      <c r="AC14" s="211">
        <f t="shared" si="11"/>
        <v>5.0796854000889624E-2</v>
      </c>
      <c r="AD14" s="93">
        <f t="shared" si="23"/>
        <v>1.0061117891080933</v>
      </c>
      <c r="AF14" s="92">
        <f t="shared" si="12"/>
        <v>-428</v>
      </c>
      <c r="AG14" s="92">
        <f t="shared" si="13"/>
        <v>605.80321212221065</v>
      </c>
      <c r="AH14" s="92">
        <f t="shared" si="24"/>
        <v>177.80321212221065</v>
      </c>
      <c r="AJ14" s="130">
        <v>6.79</v>
      </c>
      <c r="AK14" s="86">
        <v>6.74</v>
      </c>
      <c r="AL14" s="86">
        <v>13.65</v>
      </c>
    </row>
    <row r="15" spans="1:38" x14ac:dyDescent="0.3">
      <c r="A15" s="133">
        <f t="shared" si="14"/>
        <v>13</v>
      </c>
      <c r="B15" s="90">
        <v>44824</v>
      </c>
      <c r="C15" s="90">
        <f t="shared" si="15"/>
        <v>45519</v>
      </c>
      <c r="D15" s="91">
        <f>NETWORKDAYS(B15,C15-1,Feriados!$A$2:$A$2000)</f>
        <v>477</v>
      </c>
      <c r="E15" s="130">
        <v>6.75</v>
      </c>
      <c r="F15" s="92">
        <f t="shared" si="3"/>
        <v>9.9999999999997868E-3</v>
      </c>
      <c r="G15" s="132">
        <f>TRUNC((100/(1+E15/100)^(D15/252)/100)*VLOOKUP(B15,'VNA e PRT'!B:C,2,FALSE),2)</f>
        <v>3496.09</v>
      </c>
      <c r="H15" s="92">
        <f t="shared" si="16"/>
        <v>349609</v>
      </c>
      <c r="I15" s="92">
        <f t="shared" si="4"/>
        <v>2.5743707093850432E-3</v>
      </c>
      <c r="J15" s="93">
        <f t="shared" si="17"/>
        <v>0.9993911189119038</v>
      </c>
      <c r="K15" s="90">
        <f t="shared" si="5"/>
        <v>45519</v>
      </c>
      <c r="L15" s="130">
        <v>6.75</v>
      </c>
      <c r="M15" s="92">
        <f t="shared" si="6"/>
        <v>9.9999999999997868E-3</v>
      </c>
      <c r="N15" s="92">
        <f t="shared" si="0"/>
        <v>88369.75</v>
      </c>
      <c r="O15" s="86">
        <v>13.65</v>
      </c>
      <c r="P15" s="92">
        <f t="shared" si="18"/>
        <v>88412.479999999996</v>
      </c>
      <c r="Q15" s="94">
        <f t="shared" si="19"/>
        <v>-68.241251716072028</v>
      </c>
      <c r="R15" s="92">
        <f>VLOOKUP(B15,'VNA e PRT'!B:G,6,FALSE)</f>
        <v>6387.7697160018533</v>
      </c>
      <c r="S15" s="239">
        <f>VLOOKUP(B15,'VNA e PRT'!B:G,3,FALSE)</f>
        <v>-0.12</v>
      </c>
      <c r="T15" s="92">
        <f t="shared" si="7"/>
        <v>141121.40321516368</v>
      </c>
      <c r="U15" s="141">
        <f t="shared" si="8"/>
        <v>2.4773634050886058</v>
      </c>
      <c r="V15" s="134">
        <f t="shared" si="20"/>
        <v>349608.43856485572</v>
      </c>
      <c r="W15" s="134">
        <f t="shared" si="21"/>
        <v>2.4303692002014543E-3</v>
      </c>
      <c r="X15" s="135">
        <f t="shared" si="22"/>
        <v>0.99938951399527687</v>
      </c>
      <c r="Y15" s="99">
        <f t="shared" si="1"/>
        <v>0</v>
      </c>
      <c r="Z15" s="97">
        <f t="shared" si="9"/>
        <v>0</v>
      </c>
      <c r="AA15" s="92">
        <f t="shared" si="2"/>
        <v>349609</v>
      </c>
      <c r="AB15" s="92">
        <f t="shared" si="10"/>
        <v>349778.05837971886</v>
      </c>
      <c r="AC15" s="211">
        <f t="shared" si="11"/>
        <v>5.0932030812034235E-2</v>
      </c>
      <c r="AD15" s="93">
        <f t="shared" si="23"/>
        <v>1.0066242222745254</v>
      </c>
      <c r="AF15" s="92">
        <f t="shared" si="12"/>
        <v>9</v>
      </c>
      <c r="AG15" s="92">
        <f t="shared" si="13"/>
        <v>169.05837971883687</v>
      </c>
      <c r="AH15" s="92">
        <f t="shared" si="24"/>
        <v>178.05837971883687</v>
      </c>
      <c r="AJ15" s="130">
        <v>6.83</v>
      </c>
      <c r="AK15" s="86">
        <v>6.75</v>
      </c>
      <c r="AL15" s="86">
        <v>13.65</v>
      </c>
    </row>
    <row r="16" spans="1:38" x14ac:dyDescent="0.3">
      <c r="A16" s="133">
        <f t="shared" si="14"/>
        <v>14</v>
      </c>
      <c r="B16" s="90">
        <v>44825</v>
      </c>
      <c r="C16" s="90">
        <f t="shared" si="15"/>
        <v>45519</v>
      </c>
      <c r="D16" s="91">
        <f>NETWORKDAYS(B16,C16-1,Feriados!$A$2:$A$2000)</f>
        <v>476</v>
      </c>
      <c r="E16" s="130">
        <v>6.7</v>
      </c>
      <c r="F16" s="92">
        <f t="shared" si="3"/>
        <v>-4.9999999999999822E-2</v>
      </c>
      <c r="G16" s="132">
        <f>TRUNC((100/(1+E16/100)^(D16/252)/100)*VLOOKUP(B16,'VNA e PRT'!B:C,2,FALSE),2)</f>
        <v>3499.89</v>
      </c>
      <c r="H16" s="92">
        <f t="shared" si="16"/>
        <v>349989</v>
      </c>
      <c r="I16" s="92">
        <f t="shared" si="4"/>
        <v>0.10869285401691187</v>
      </c>
      <c r="J16" s="93">
        <f t="shared" si="17"/>
        <v>1.0004773856418407</v>
      </c>
      <c r="K16" s="90">
        <f t="shared" si="5"/>
        <v>45519</v>
      </c>
      <c r="L16" s="130">
        <v>6.7</v>
      </c>
      <c r="M16" s="92">
        <f t="shared" si="6"/>
        <v>-4.9999999999999822E-2</v>
      </c>
      <c r="N16" s="92">
        <f t="shared" si="0"/>
        <v>88470.92</v>
      </c>
      <c r="O16" s="86">
        <v>13.65</v>
      </c>
      <c r="P16" s="92">
        <f t="shared" si="18"/>
        <v>88419.69</v>
      </c>
      <c r="Q16" s="94">
        <f t="shared" si="19"/>
        <v>81.81136063768723</v>
      </c>
      <c r="R16" s="92">
        <f>VLOOKUP(B16,'VNA e PRT'!B:G,6,FALSE)</f>
        <v>6387.4044908288388</v>
      </c>
      <c r="S16" s="239">
        <f>VLOOKUP(B16,'VNA e PRT'!B:G,3,FALSE)</f>
        <v>-0.12</v>
      </c>
      <c r="T16" s="92">
        <f t="shared" si="7"/>
        <v>141274.88792893974</v>
      </c>
      <c r="U16" s="141">
        <f t="shared" si="8"/>
        <v>2.4773617245836497</v>
      </c>
      <c r="V16" s="134">
        <f t="shared" si="20"/>
        <v>349988.6741626095</v>
      </c>
      <c r="W16" s="134">
        <f t="shared" si="21"/>
        <v>0.108760417601661</v>
      </c>
      <c r="X16" s="135">
        <f t="shared" si="22"/>
        <v>1.0004764542041653</v>
      </c>
      <c r="Y16" s="99">
        <f t="shared" si="1"/>
        <v>0</v>
      </c>
      <c r="Z16" s="97">
        <f t="shared" si="9"/>
        <v>0</v>
      </c>
      <c r="AA16" s="92">
        <f t="shared" si="2"/>
        <v>349989</v>
      </c>
      <c r="AB16" s="92">
        <f t="shared" si="10"/>
        <v>349786.32366652007</v>
      </c>
      <c r="AC16" s="211">
        <f t="shared" si="11"/>
        <v>5.072056683896875E-2</v>
      </c>
      <c r="AD16" s="93">
        <f t="shared" si="23"/>
        <v>1.0071347877860015</v>
      </c>
      <c r="AF16" s="92">
        <f t="shared" si="12"/>
        <v>380</v>
      </c>
      <c r="AG16" s="92">
        <f t="shared" si="13"/>
        <v>-202.67633347991574</v>
      </c>
      <c r="AH16" s="92">
        <f t="shared" si="24"/>
        <v>177.32366652008426</v>
      </c>
      <c r="AJ16" s="130">
        <v>6.79</v>
      </c>
      <c r="AK16" s="86">
        <v>6.7</v>
      </c>
      <c r="AL16" s="86">
        <v>13.65</v>
      </c>
    </row>
    <row r="17" spans="1:38" x14ac:dyDescent="0.3">
      <c r="A17" s="133">
        <f t="shared" si="14"/>
        <v>15</v>
      </c>
      <c r="B17" s="90">
        <v>44826</v>
      </c>
      <c r="C17" s="90">
        <f t="shared" si="15"/>
        <v>45519</v>
      </c>
      <c r="D17" s="91">
        <f>NETWORKDAYS(B17,C17-1,Feriados!$A$2:$A$2000)</f>
        <v>475</v>
      </c>
      <c r="E17" s="130">
        <v>6.44</v>
      </c>
      <c r="F17" s="92">
        <f t="shared" si="3"/>
        <v>-0.25999999999999979</v>
      </c>
      <c r="G17" s="132">
        <f>TRUNC((100/(1+E17/100)^(D17/252)/100)*VLOOKUP(B17,'VNA e PRT'!B:C,2,FALSE),2)</f>
        <v>3516.73</v>
      </c>
      <c r="H17" s="92">
        <f t="shared" si="16"/>
        <v>351673</v>
      </c>
      <c r="I17" s="92">
        <f t="shared" si="4"/>
        <v>0.48115797925079029</v>
      </c>
      <c r="J17" s="93">
        <f t="shared" si="17"/>
        <v>1.0052912624134562</v>
      </c>
      <c r="K17" s="90">
        <f t="shared" si="5"/>
        <v>45519</v>
      </c>
      <c r="L17" s="130">
        <v>6.44</v>
      </c>
      <c r="M17" s="92">
        <f t="shared" si="6"/>
        <v>-0.25999999999999979</v>
      </c>
      <c r="N17" s="92">
        <f t="shared" si="0"/>
        <v>88901.58</v>
      </c>
      <c r="O17" s="86">
        <v>13.65</v>
      </c>
      <c r="P17" s="92">
        <f t="shared" si="18"/>
        <v>88520.91</v>
      </c>
      <c r="Q17" s="94">
        <f t="shared" si="19"/>
        <v>607.87331688095082</v>
      </c>
      <c r="R17" s="92">
        <f>VLOOKUP(B17,'VNA e PRT'!B:G,6,FALSE)</f>
        <v>6387.0392882604874</v>
      </c>
      <c r="S17" s="239">
        <f>VLOOKUP(B17,'VNA e PRT'!B:G,3,FALSE)</f>
        <v>-0.12</v>
      </c>
      <c r="T17" s="92">
        <f t="shared" si="7"/>
        <v>141954.4710621082</v>
      </c>
      <c r="U17" s="141">
        <f t="shared" si="8"/>
        <v>2.477364730880053</v>
      </c>
      <c r="V17" s="134">
        <f t="shared" si="20"/>
        <v>351672.35045716458</v>
      </c>
      <c r="W17" s="134">
        <f t="shared" si="21"/>
        <v>0.48106593694310362</v>
      </c>
      <c r="X17" s="135">
        <f t="shared" si="22"/>
        <v>1.0052894056324777</v>
      </c>
      <c r="Y17" s="99">
        <f t="shared" si="1"/>
        <v>0</v>
      </c>
      <c r="Z17" s="97">
        <f t="shared" si="9"/>
        <v>0</v>
      </c>
      <c r="AA17" s="92">
        <f t="shared" si="2"/>
        <v>351673</v>
      </c>
      <c r="AB17" s="92">
        <f t="shared" si="10"/>
        <v>350167.07608391606</v>
      </c>
      <c r="AC17" s="211">
        <f t="shared" si="11"/>
        <v>5.0880480219683832E-2</v>
      </c>
      <c r="AD17" s="93">
        <f t="shared" si="23"/>
        <v>1.0076472228024864</v>
      </c>
      <c r="AF17" s="92">
        <f t="shared" si="12"/>
        <v>1684</v>
      </c>
      <c r="AG17" s="92">
        <f t="shared" si="13"/>
        <v>-1505.923916083942</v>
      </c>
      <c r="AH17" s="92">
        <f t="shared" si="24"/>
        <v>178.076083916058</v>
      </c>
      <c r="AJ17" s="130">
        <v>6.7099999999999991</v>
      </c>
      <c r="AK17" s="86">
        <v>6.44</v>
      </c>
      <c r="AL17" s="86">
        <v>13.65</v>
      </c>
    </row>
    <row r="18" spans="1:38" x14ac:dyDescent="0.3">
      <c r="A18" s="133">
        <f t="shared" si="14"/>
        <v>16</v>
      </c>
      <c r="B18" s="90">
        <v>44827</v>
      </c>
      <c r="C18" s="90">
        <f t="shared" si="15"/>
        <v>45519</v>
      </c>
      <c r="D18" s="91">
        <f>NETWORKDAYS(B18,C18-1,Feriados!$A$2:$A$2000)</f>
        <v>474</v>
      </c>
      <c r="E18" s="130">
        <v>6.58</v>
      </c>
      <c r="F18" s="92">
        <f t="shared" si="3"/>
        <v>0.13999999999999968</v>
      </c>
      <c r="G18" s="132">
        <f>TRUNC((100/(1+E18/100)^(D18/252)/100)*VLOOKUP(B18,'VNA e PRT'!B:C,2,FALSE),2)</f>
        <v>3508.71</v>
      </c>
      <c r="H18" s="92">
        <f t="shared" si="16"/>
        <v>350871</v>
      </c>
      <c r="I18" s="92">
        <f t="shared" si="4"/>
        <v>-0.22805276492651183</v>
      </c>
      <c r="J18" s="93">
        <f t="shared" si="17"/>
        <v>1.0029986678939578</v>
      </c>
      <c r="K18" s="90">
        <f t="shared" si="5"/>
        <v>45519</v>
      </c>
      <c r="L18" s="130">
        <v>6.58</v>
      </c>
      <c r="M18" s="92">
        <f t="shared" si="6"/>
        <v>0.13999999999999968</v>
      </c>
      <c r="N18" s="92">
        <f t="shared" si="0"/>
        <v>88704.02</v>
      </c>
      <c r="O18" s="86">
        <v>13.65</v>
      </c>
      <c r="P18" s="92">
        <f t="shared" si="18"/>
        <v>88951.82</v>
      </c>
      <c r="Q18" s="94">
        <f t="shared" si="19"/>
        <v>-395.67708390774186</v>
      </c>
      <c r="R18" s="92">
        <f>VLOOKUP(B18,'VNA e PRT'!B:G,6,FALSE)</f>
        <v>6386.6741050675619</v>
      </c>
      <c r="S18" s="239">
        <f>VLOOKUP(B18,'VNA e PRT'!B:G,3,FALSE)</f>
        <v>-0.12</v>
      </c>
      <c r="T18" s="92">
        <f t="shared" si="7"/>
        <v>141630.91688734878</v>
      </c>
      <c r="U18" s="141">
        <f t="shared" si="8"/>
        <v>2.4773616362243689</v>
      </c>
      <c r="V18" s="134">
        <f t="shared" si="20"/>
        <v>350870.72271377448</v>
      </c>
      <c r="W18" s="134">
        <f t="shared" si="21"/>
        <v>-0.22794733289324132</v>
      </c>
      <c r="X18" s="135">
        <f t="shared" si="22"/>
        <v>1.0029978752444801</v>
      </c>
      <c r="Y18" s="99">
        <f t="shared" si="1"/>
        <v>0</v>
      </c>
      <c r="Z18" s="97">
        <f t="shared" si="9"/>
        <v>0</v>
      </c>
      <c r="AA18" s="92">
        <f t="shared" si="2"/>
        <v>350871</v>
      </c>
      <c r="AB18" s="92">
        <f t="shared" si="10"/>
        <v>351851.23522800615</v>
      </c>
      <c r="AC18" s="211">
        <f t="shared" si="11"/>
        <v>5.068209046645844E-2</v>
      </c>
      <c r="AD18" s="93">
        <f t="shared" si="23"/>
        <v>1.00815791947953</v>
      </c>
      <c r="AF18" s="92">
        <f t="shared" si="12"/>
        <v>-802</v>
      </c>
      <c r="AG18" s="92">
        <f t="shared" si="13"/>
        <v>980.23522800617025</v>
      </c>
      <c r="AH18" s="92">
        <f t="shared" si="24"/>
        <v>178.23522800617025</v>
      </c>
      <c r="AJ18" s="130">
        <v>6.5700000000000012</v>
      </c>
      <c r="AK18" s="86">
        <v>6.58</v>
      </c>
      <c r="AL18" s="86">
        <v>13.65</v>
      </c>
    </row>
    <row r="19" spans="1:38" x14ac:dyDescent="0.3">
      <c r="A19" s="133">
        <f t="shared" si="14"/>
        <v>17</v>
      </c>
      <c r="B19" s="90">
        <v>44830</v>
      </c>
      <c r="C19" s="90">
        <f t="shared" si="15"/>
        <v>45519</v>
      </c>
      <c r="D19" s="91">
        <f>NETWORKDAYS(B19,C19-1,Feriados!$A$2:$A$2000)</f>
        <v>473</v>
      </c>
      <c r="E19" s="130">
        <v>6.72</v>
      </c>
      <c r="F19" s="92">
        <f t="shared" si="3"/>
        <v>0.13999999999999968</v>
      </c>
      <c r="G19" s="132">
        <f>TRUNC((100/(1+E19/100)^(D19/252)/100)*VLOOKUP(B19,'VNA e PRT'!B:C,2,FALSE),2)</f>
        <v>3500.76</v>
      </c>
      <c r="H19" s="92">
        <f t="shared" si="16"/>
        <v>350076</v>
      </c>
      <c r="I19" s="92">
        <f t="shared" si="4"/>
        <v>-0.22657899911933121</v>
      </c>
      <c r="J19" s="93">
        <f t="shared" si="17"/>
        <v>1.0007260835510634</v>
      </c>
      <c r="K19" s="90">
        <f t="shared" si="5"/>
        <v>45519</v>
      </c>
      <c r="L19" s="130">
        <v>6.72</v>
      </c>
      <c r="M19" s="92">
        <f t="shared" si="6"/>
        <v>0.13999999999999968</v>
      </c>
      <c r="N19" s="92">
        <f t="shared" si="0"/>
        <v>88508.11</v>
      </c>
      <c r="O19" s="86">
        <v>13.65</v>
      </c>
      <c r="P19" s="92">
        <f t="shared" si="18"/>
        <v>88754.15</v>
      </c>
      <c r="Q19" s="94">
        <f t="shared" si="19"/>
        <v>-392.84432420269553</v>
      </c>
      <c r="R19" s="92">
        <f>VLOOKUP(B19,'VNA e PRT'!B:G,6,FALSE)</f>
        <v>6386.3089444793004</v>
      </c>
      <c r="S19" s="239">
        <f>VLOOKUP(B19,'VNA e PRT'!B:G,3,FALSE)</f>
        <v>-0.12</v>
      </c>
      <c r="T19" s="92">
        <f t="shared" si="7"/>
        <v>141310.03363798946</v>
      </c>
      <c r="U19" s="141">
        <f t="shared" si="8"/>
        <v>2.4773612388829438</v>
      </c>
      <c r="V19" s="134">
        <f t="shared" si="20"/>
        <v>350075.70576569811</v>
      </c>
      <c r="W19" s="134">
        <f t="shared" si="21"/>
        <v>-0.22658400847109794</v>
      </c>
      <c r="X19" s="135">
        <f t="shared" si="22"/>
        <v>1.0007252424538713</v>
      </c>
      <c r="Y19" s="99">
        <f t="shared" si="1"/>
        <v>0</v>
      </c>
      <c r="Z19" s="97">
        <f t="shared" si="9"/>
        <v>0</v>
      </c>
      <c r="AA19" s="92">
        <f t="shared" si="2"/>
        <v>350076</v>
      </c>
      <c r="AB19" s="92">
        <f t="shared" si="10"/>
        <v>351049.21730169491</v>
      </c>
      <c r="AC19" s="211">
        <f t="shared" si="11"/>
        <v>5.079282747646463E-2</v>
      </c>
      <c r="AD19" s="93">
        <f t="shared" si="23"/>
        <v>1.0086699913922617</v>
      </c>
      <c r="AF19" s="92">
        <f t="shared" si="12"/>
        <v>-795</v>
      </c>
      <c r="AG19" s="92">
        <f t="shared" si="13"/>
        <v>973.21730169492264</v>
      </c>
      <c r="AH19" s="92">
        <f t="shared" si="24"/>
        <v>178.21730169492264</v>
      </c>
      <c r="AJ19" s="130">
        <v>6.75</v>
      </c>
      <c r="AK19" s="86">
        <v>6.72</v>
      </c>
      <c r="AL19" s="86">
        <v>13.65</v>
      </c>
    </row>
    <row r="20" spans="1:38" x14ac:dyDescent="0.3">
      <c r="A20" s="133">
        <f t="shared" si="14"/>
        <v>18</v>
      </c>
      <c r="B20" s="90">
        <v>44831</v>
      </c>
      <c r="C20" s="90">
        <f t="shared" si="15"/>
        <v>45519</v>
      </c>
      <c r="D20" s="91">
        <f>NETWORKDAYS(B20,C20-1,Feriados!$A$2:$A$2000)</f>
        <v>472</v>
      </c>
      <c r="E20" s="130">
        <v>6.6</v>
      </c>
      <c r="F20" s="92">
        <f t="shared" si="3"/>
        <v>-0.12000000000000011</v>
      </c>
      <c r="G20" s="132">
        <f>TRUNC((100/(1+E20/100)^(D20/252)/100)*VLOOKUP(B20,'VNA e PRT'!B:C,2,FALSE),2)</f>
        <v>3508.85</v>
      </c>
      <c r="H20" s="92">
        <f t="shared" si="16"/>
        <v>350885</v>
      </c>
      <c r="I20" s="92">
        <f t="shared" si="4"/>
        <v>0.23109267701868497</v>
      </c>
      <c r="J20" s="93">
        <f t="shared" si="17"/>
        <v>1.0030386882471658</v>
      </c>
      <c r="K20" s="90">
        <f t="shared" si="5"/>
        <v>45519</v>
      </c>
      <c r="L20" s="130">
        <v>6.6</v>
      </c>
      <c r="M20" s="92">
        <f t="shared" si="6"/>
        <v>-0.12000000000000011</v>
      </c>
      <c r="N20" s="92">
        <f t="shared" si="0"/>
        <v>88717.71</v>
      </c>
      <c r="O20" s="86">
        <v>13.65</v>
      </c>
      <c r="P20" s="92">
        <f t="shared" si="18"/>
        <v>88558.12</v>
      </c>
      <c r="Q20" s="94">
        <f t="shared" si="19"/>
        <v>254.79776111238053</v>
      </c>
      <c r="R20" s="92">
        <f>VLOOKUP(B20,'VNA e PRT'!B:G,6,FALSE)</f>
        <v>6385.9438032664657</v>
      </c>
      <c r="S20" s="239">
        <f>VLOOKUP(B20,'VNA e PRT'!B:G,3,FALSE)</f>
        <v>-0.12</v>
      </c>
      <c r="T20" s="92">
        <f t="shared" si="7"/>
        <v>141636.57760362286</v>
      </c>
      <c r="U20" s="141">
        <f t="shared" si="8"/>
        <v>2.4773614693089341</v>
      </c>
      <c r="V20" s="134">
        <f t="shared" si="20"/>
        <v>350884.7285016583</v>
      </c>
      <c r="W20" s="134">
        <f t="shared" si="21"/>
        <v>0.23109936583307622</v>
      </c>
      <c r="X20" s="135">
        <f t="shared" si="22"/>
        <v>1.0030379121429136</v>
      </c>
      <c r="Y20" s="99">
        <f t="shared" si="1"/>
        <v>0</v>
      </c>
      <c r="Z20" s="97">
        <f t="shared" si="9"/>
        <v>0</v>
      </c>
      <c r="AA20" s="92">
        <f t="shared" si="2"/>
        <v>350885</v>
      </c>
      <c r="AB20" s="92">
        <f t="shared" si="10"/>
        <v>350253.77384415403</v>
      </c>
      <c r="AC20" s="211">
        <f t="shared" si="11"/>
        <v>5.0781500061147788E-2</v>
      </c>
      <c r="AD20" s="93">
        <f t="shared" si="23"/>
        <v>1.0091822091445573</v>
      </c>
      <c r="AF20" s="92">
        <f t="shared" si="12"/>
        <v>809</v>
      </c>
      <c r="AG20" s="92">
        <f t="shared" si="13"/>
        <v>-631.22615584599384</v>
      </c>
      <c r="AH20" s="92">
        <f t="shared" si="24"/>
        <v>177.77384415400616</v>
      </c>
      <c r="AJ20" s="130">
        <v>6.660000000000001</v>
      </c>
      <c r="AK20" s="86">
        <v>6.6</v>
      </c>
      <c r="AL20" s="86">
        <v>13.65</v>
      </c>
    </row>
    <row r="21" spans="1:38" x14ac:dyDescent="0.3">
      <c r="A21" s="133">
        <f t="shared" si="14"/>
        <v>19</v>
      </c>
      <c r="B21" s="90">
        <v>44832</v>
      </c>
      <c r="C21" s="90">
        <f t="shared" si="15"/>
        <v>45519</v>
      </c>
      <c r="D21" s="91">
        <f>NETWORKDAYS(B21,C21-1,Feriados!$A$2:$A$2000)</f>
        <v>471</v>
      </c>
      <c r="E21" s="130">
        <v>6.61</v>
      </c>
      <c r="F21" s="92">
        <f t="shared" si="3"/>
        <v>1.0000000000000675E-2</v>
      </c>
      <c r="G21" s="132">
        <f>TRUNC((100/(1+E21/100)^(D21/252)/100)*VLOOKUP(B21,'VNA e PRT'!B:C,2,FALSE),2)</f>
        <v>3505.91</v>
      </c>
      <c r="H21" s="92">
        <f t="shared" si="16"/>
        <v>350591</v>
      </c>
      <c r="I21" s="92">
        <f t="shared" si="4"/>
        <v>-8.378813571398025E-2</v>
      </c>
      <c r="J21" s="93">
        <f t="shared" si="17"/>
        <v>1.0021982608297935</v>
      </c>
      <c r="K21" s="90">
        <f t="shared" si="5"/>
        <v>45519</v>
      </c>
      <c r="L21" s="130">
        <v>6.61</v>
      </c>
      <c r="M21" s="92">
        <f t="shared" si="6"/>
        <v>1.0000000000000675E-2</v>
      </c>
      <c r="N21" s="92">
        <f t="shared" si="0"/>
        <v>88724.66</v>
      </c>
      <c r="O21" s="86">
        <v>13.65</v>
      </c>
      <c r="P21" s="92">
        <f t="shared" si="18"/>
        <v>88844.13</v>
      </c>
      <c r="Q21" s="94">
        <f t="shared" si="19"/>
        <v>-190.73217654406304</v>
      </c>
      <c r="R21" s="92">
        <f>VLOOKUP(B21,'VNA e PRT'!B:G,6,FALSE)</f>
        <v>6380.0956165952512</v>
      </c>
      <c r="S21" s="239">
        <f>VLOOKUP(B21,'VNA e PRT'!B:G,3,FALSE)</f>
        <v>-0.32</v>
      </c>
      <c r="T21" s="92">
        <f t="shared" si="7"/>
        <v>141517.95358747602</v>
      </c>
      <c r="U21" s="141">
        <f t="shared" si="8"/>
        <v>2.4773605829686502</v>
      </c>
      <c r="V21" s="134">
        <f t="shared" si="20"/>
        <v>350590.4235924675</v>
      </c>
      <c r="W21" s="134">
        <f t="shared" si="21"/>
        <v>-8.3875097798513654E-2</v>
      </c>
      <c r="X21" s="135">
        <f t="shared" si="22"/>
        <v>1.0021966131131477</v>
      </c>
      <c r="Y21" s="99">
        <f t="shared" si="1"/>
        <v>0</v>
      </c>
      <c r="Z21" s="97">
        <f t="shared" si="9"/>
        <v>0</v>
      </c>
      <c r="AA21" s="92">
        <f t="shared" si="2"/>
        <v>350591</v>
      </c>
      <c r="AB21" s="92">
        <f t="shared" si="10"/>
        <v>351063.5123760741</v>
      </c>
      <c r="AC21" s="211">
        <f t="shared" si="11"/>
        <v>5.0874895214692017E-2</v>
      </c>
      <c r="AD21" s="93">
        <f t="shared" si="23"/>
        <v>1.0096956295359849</v>
      </c>
      <c r="AF21" s="92">
        <f t="shared" si="12"/>
        <v>-294</v>
      </c>
      <c r="AG21" s="92">
        <f t="shared" si="13"/>
        <v>472.5123760740795</v>
      </c>
      <c r="AH21" s="92">
        <f t="shared" si="24"/>
        <v>178.5123760740795</v>
      </c>
      <c r="AJ21" s="130">
        <v>6.7</v>
      </c>
      <c r="AK21" s="86">
        <v>6.61</v>
      </c>
      <c r="AL21" s="86">
        <v>13.65</v>
      </c>
    </row>
    <row r="22" spans="1:38" x14ac:dyDescent="0.3">
      <c r="A22" s="133">
        <f t="shared" si="14"/>
        <v>20</v>
      </c>
      <c r="B22" s="90">
        <v>44833</v>
      </c>
      <c r="C22" s="90">
        <f t="shared" si="15"/>
        <v>45519</v>
      </c>
      <c r="D22" s="91">
        <f>NETWORKDAYS(B22,C22-1,Feriados!$A$2:$A$2000)</f>
        <v>470</v>
      </c>
      <c r="E22" s="130">
        <v>6.54</v>
      </c>
      <c r="F22" s="92">
        <f t="shared" si="3"/>
        <v>-7.0000000000000284E-2</v>
      </c>
      <c r="G22" s="132">
        <f>TRUNC((100/(1+E22/100)^(D22/252)/100)*VLOOKUP(B22,'VNA e PRT'!B:C,2,FALSE),2)</f>
        <v>3510.56</v>
      </c>
      <c r="H22" s="92">
        <f t="shared" si="16"/>
        <v>351056</v>
      </c>
      <c r="I22" s="92">
        <f t="shared" si="4"/>
        <v>0.13263318225511522</v>
      </c>
      <c r="J22" s="93">
        <f t="shared" si="17"/>
        <v>1.0035275082756374</v>
      </c>
      <c r="K22" s="90">
        <f t="shared" si="5"/>
        <v>45519</v>
      </c>
      <c r="L22" s="130">
        <v>6.54</v>
      </c>
      <c r="M22" s="92">
        <f t="shared" si="6"/>
        <v>-7.0000000000000284E-2</v>
      </c>
      <c r="N22" s="92">
        <f t="shared" si="0"/>
        <v>88855.98</v>
      </c>
      <c r="O22" s="86">
        <v>13.65</v>
      </c>
      <c r="P22" s="92">
        <f t="shared" si="18"/>
        <v>88783.27</v>
      </c>
      <c r="Q22" s="94">
        <f t="shared" si="19"/>
        <v>115.97418807064717</v>
      </c>
      <c r="R22" s="92">
        <f>VLOOKUP(B22,'VNA e PRT'!B:G,6,FALSE)</f>
        <v>6379.1219271461969</v>
      </c>
      <c r="S22" s="239">
        <f>VLOOKUP(B22,'VNA e PRT'!B:G,3,FALSE)</f>
        <v>-0.32</v>
      </c>
      <c r="T22" s="92">
        <f t="shared" si="7"/>
        <v>141705.782594016</v>
      </c>
      <c r="U22" s="141">
        <f t="shared" si="8"/>
        <v>2.477358323518581</v>
      </c>
      <c r="V22" s="134">
        <f t="shared" si="20"/>
        <v>351055.79120779381</v>
      </c>
      <c r="W22" s="134">
        <f t="shared" si="21"/>
        <v>0.13273825638411285</v>
      </c>
      <c r="X22" s="135">
        <f t="shared" si="22"/>
        <v>1.0035269114229346</v>
      </c>
      <c r="Y22" s="99">
        <f t="shared" si="1"/>
        <v>0</v>
      </c>
      <c r="Z22" s="97">
        <f t="shared" si="9"/>
        <v>0</v>
      </c>
      <c r="AA22" s="92">
        <f t="shared" si="2"/>
        <v>351056</v>
      </c>
      <c r="AB22" s="92">
        <f t="shared" si="10"/>
        <v>350768.69037986989</v>
      </c>
      <c r="AC22" s="211">
        <f t="shared" si="11"/>
        <v>5.0683097931747412E-2</v>
      </c>
      <c r="AD22" s="93">
        <f t="shared" si="23"/>
        <v>1.0102073745607152</v>
      </c>
      <c r="AF22" s="92">
        <f t="shared" si="12"/>
        <v>465</v>
      </c>
      <c r="AG22" s="92">
        <f t="shared" si="13"/>
        <v>-287.30962013012709</v>
      </c>
      <c r="AH22" s="92">
        <f t="shared" si="24"/>
        <v>177.69037986987291</v>
      </c>
      <c r="AJ22" s="130">
        <v>6.69</v>
      </c>
      <c r="AK22" s="86">
        <v>6.54</v>
      </c>
      <c r="AL22" s="86">
        <v>13.65</v>
      </c>
    </row>
    <row r="23" spans="1:38" x14ac:dyDescent="0.3">
      <c r="A23" s="133">
        <f t="shared" si="14"/>
        <v>21</v>
      </c>
      <c r="B23" s="90">
        <v>44834</v>
      </c>
      <c r="C23" s="90">
        <f t="shared" si="15"/>
        <v>45519</v>
      </c>
      <c r="D23" s="91">
        <f>NETWORKDAYS(B23,C23-1,Feriados!$A$2:$A$2000)</f>
        <v>469</v>
      </c>
      <c r="E23" s="130">
        <v>6.46</v>
      </c>
      <c r="F23" s="92">
        <f t="shared" si="3"/>
        <v>-8.0000000000000071E-2</v>
      </c>
      <c r="G23" s="132">
        <f>TRUNC((100/(1+E23/100)^(D23/252)/100)*VLOOKUP(B23,'VNA e PRT'!B:C,2,FALSE),2)</f>
        <v>3515.82</v>
      </c>
      <c r="H23" s="92">
        <f t="shared" si="16"/>
        <v>351582</v>
      </c>
      <c r="I23" s="92">
        <f t="shared" si="4"/>
        <v>0.1498336447746329</v>
      </c>
      <c r="J23" s="93">
        <f t="shared" si="17"/>
        <v>1.0050311301176029</v>
      </c>
      <c r="K23" s="90">
        <f t="shared" si="5"/>
        <v>45519</v>
      </c>
      <c r="L23" s="130">
        <v>6.46</v>
      </c>
      <c r="M23" s="92">
        <f t="shared" si="6"/>
        <v>-8.0000000000000071E-2</v>
      </c>
      <c r="N23" s="92">
        <f t="shared" si="0"/>
        <v>89002.66</v>
      </c>
      <c r="O23" s="86">
        <v>13.65</v>
      </c>
      <c r="P23" s="92">
        <f t="shared" si="18"/>
        <v>88914.68</v>
      </c>
      <c r="Q23" s="94">
        <f t="shared" si="19"/>
        <v>140.30878678759731</v>
      </c>
      <c r="R23" s="92">
        <f>VLOOKUP(B23,'VNA e PRT'!B:G,6,FALSE)</f>
        <v>6378.1483862420791</v>
      </c>
      <c r="S23" s="239">
        <f>VLOOKUP(B23,'VNA e PRT'!B:G,3,FALSE)</f>
        <v>-0.32</v>
      </c>
      <c r="T23" s="92">
        <f t="shared" si="7"/>
        <v>141918.04306256311</v>
      </c>
      <c r="U23" s="141">
        <f t="shared" si="8"/>
        <v>2.4773594140176289</v>
      </c>
      <c r="V23" s="134">
        <f t="shared" si="20"/>
        <v>351581.68084788579</v>
      </c>
      <c r="W23" s="134">
        <f t="shared" si="21"/>
        <v>0.14980229731651473</v>
      </c>
      <c r="X23" s="135">
        <f t="shared" si="22"/>
        <v>1.0050302177904356</v>
      </c>
      <c r="Y23" s="99">
        <f t="shared" si="1"/>
        <v>0</v>
      </c>
      <c r="Z23" s="97">
        <f t="shared" si="9"/>
        <v>0</v>
      </c>
      <c r="AA23" s="92">
        <f t="shared" si="2"/>
        <v>351582</v>
      </c>
      <c r="AB23" s="92">
        <f t="shared" si="10"/>
        <v>351234.40470618237</v>
      </c>
      <c r="AC23" s="211">
        <f t="shared" si="11"/>
        <v>5.0819443673488784E-2</v>
      </c>
      <c r="AD23" s="93">
        <f t="shared" si="23"/>
        <v>1.0107207563284155</v>
      </c>
      <c r="AF23" s="92">
        <f t="shared" si="12"/>
        <v>526</v>
      </c>
      <c r="AG23" s="92">
        <f t="shared" si="13"/>
        <v>-347.59529381764651</v>
      </c>
      <c r="AH23" s="92">
        <f t="shared" si="24"/>
        <v>178.40470618235349</v>
      </c>
      <c r="AJ23" s="130">
        <v>6.5700000000000012</v>
      </c>
      <c r="AK23" s="86">
        <v>6.46</v>
      </c>
      <c r="AL23" s="86">
        <v>13.65</v>
      </c>
    </row>
    <row r="24" spans="1:38" x14ac:dyDescent="0.3">
      <c r="A24" s="133">
        <f t="shared" si="14"/>
        <v>22</v>
      </c>
      <c r="B24" s="90">
        <v>44837</v>
      </c>
      <c r="C24" s="90">
        <f t="shared" si="15"/>
        <v>45519</v>
      </c>
      <c r="D24" s="91">
        <f>NETWORKDAYS(B24,C24-1,Feriados!$A$2:$A$2000)</f>
        <v>468</v>
      </c>
      <c r="E24" s="130">
        <v>6.45</v>
      </c>
      <c r="F24" s="92">
        <f t="shared" si="3"/>
        <v>-9.9999999999997868E-3</v>
      </c>
      <c r="G24" s="132">
        <f>TRUNC((100/(1+E24/100)^(D24/252)/100)*VLOOKUP(B24,'VNA e PRT'!B:C,2,FALSE),2)</f>
        <v>3516.77</v>
      </c>
      <c r="H24" s="92">
        <f t="shared" si="16"/>
        <v>351677</v>
      </c>
      <c r="I24" s="92">
        <f t="shared" si="4"/>
        <v>2.70207234727593E-2</v>
      </c>
      <c r="J24" s="93">
        <f t="shared" si="17"/>
        <v>1.0053026968000871</v>
      </c>
      <c r="K24" s="90">
        <f t="shared" si="5"/>
        <v>45519</v>
      </c>
      <c r="L24" s="130">
        <v>6.45</v>
      </c>
      <c r="M24" s="92">
        <f t="shared" si="6"/>
        <v>-9.9999999999997868E-3</v>
      </c>
      <c r="N24" s="92">
        <f t="shared" si="0"/>
        <v>89040.3</v>
      </c>
      <c r="O24" s="86">
        <v>13.65</v>
      </c>
      <c r="P24" s="92">
        <f t="shared" si="18"/>
        <v>89061.45</v>
      </c>
      <c r="Q24" s="94">
        <f t="shared" si="19"/>
        <v>-33.724459592245715</v>
      </c>
      <c r="R24" s="92">
        <f>VLOOKUP(B24,'VNA e PRT'!B:G,6,FALSE)</f>
        <v>6377.1749938828971</v>
      </c>
      <c r="S24" s="239">
        <f>VLOOKUP(B24,'VNA e PRT'!B:G,3,FALSE)</f>
        <v>-0.32</v>
      </c>
      <c r="T24" s="92">
        <f t="shared" si="7"/>
        <v>141956.39365195783</v>
      </c>
      <c r="U24" s="141">
        <f t="shared" si="8"/>
        <v>2.4773593562980016</v>
      </c>
      <c r="V24" s="134">
        <f t="shared" si="20"/>
        <v>351676.69467767992</v>
      </c>
      <c r="W24" s="134">
        <f t="shared" si="21"/>
        <v>2.7024681594611799E-2</v>
      </c>
      <c r="X24" s="135">
        <f t="shared" si="22"/>
        <v>1.0053018240067231</v>
      </c>
      <c r="Y24" s="99">
        <f t="shared" si="1"/>
        <v>0</v>
      </c>
      <c r="Z24" s="97">
        <f t="shared" si="9"/>
        <v>0</v>
      </c>
      <c r="AA24" s="92">
        <f t="shared" si="2"/>
        <v>351677</v>
      </c>
      <c r="AB24" s="92">
        <f t="shared" si="10"/>
        <v>351760.54760550696</v>
      </c>
      <c r="AC24" s="211">
        <f t="shared" si="11"/>
        <v>5.0784057632924373E-2</v>
      </c>
      <c r="AD24" s="93">
        <f t="shared" si="23"/>
        <v>1.0112340413398173</v>
      </c>
      <c r="AF24" s="92">
        <f t="shared" si="12"/>
        <v>95</v>
      </c>
      <c r="AG24" s="92">
        <f t="shared" si="13"/>
        <v>83.54760550694381</v>
      </c>
      <c r="AH24" s="92">
        <f t="shared" si="24"/>
        <v>178.5476055069438</v>
      </c>
      <c r="AJ24" s="130">
        <v>6.4800000000000013</v>
      </c>
      <c r="AK24" s="86">
        <v>6.45</v>
      </c>
      <c r="AL24" s="86">
        <v>13.65</v>
      </c>
    </row>
    <row r="25" spans="1:38" x14ac:dyDescent="0.3">
      <c r="A25" s="133">
        <f t="shared" si="14"/>
        <v>23</v>
      </c>
      <c r="B25" s="90">
        <v>44838</v>
      </c>
      <c r="C25" s="90">
        <f t="shared" si="15"/>
        <v>45519</v>
      </c>
      <c r="D25" s="91">
        <f>NETWORKDAYS(B25,C25-1,Feriados!$A$2:$A$2000)</f>
        <v>467</v>
      </c>
      <c r="E25" s="130">
        <v>6.5</v>
      </c>
      <c r="F25" s="92">
        <f t="shared" si="3"/>
        <v>4.9999999999999822E-2</v>
      </c>
      <c r="G25" s="132">
        <f>TRUNC((100/(1+E25/100)^(D25/252)/100)*VLOOKUP(B25,'VNA e PRT'!B:C,2,FALSE),2)</f>
        <v>3514.05</v>
      </c>
      <c r="H25" s="92">
        <f t="shared" si="16"/>
        <v>351405</v>
      </c>
      <c r="I25" s="92">
        <f t="shared" si="4"/>
        <v>-7.7343698905518732E-2</v>
      </c>
      <c r="J25" s="93">
        <f t="shared" si="17"/>
        <v>1.004525158509185</v>
      </c>
      <c r="K25" s="90">
        <f t="shared" si="5"/>
        <v>45519</v>
      </c>
      <c r="L25" s="130">
        <v>6.5</v>
      </c>
      <c r="M25" s="92">
        <f t="shared" si="6"/>
        <v>4.9999999999999822E-2</v>
      </c>
      <c r="N25" s="92">
        <f t="shared" si="0"/>
        <v>88984.92</v>
      </c>
      <c r="O25" s="86">
        <v>13.65</v>
      </c>
      <c r="P25" s="92">
        <f t="shared" si="18"/>
        <v>89099.12</v>
      </c>
      <c r="Q25" s="94">
        <f t="shared" si="19"/>
        <v>-182.06834607535208</v>
      </c>
      <c r="R25" s="92">
        <f>VLOOKUP(B25,'VNA e PRT'!B:G,6,FALSE)</f>
        <v>6376.2017500686507</v>
      </c>
      <c r="S25" s="239">
        <f>VLOOKUP(B25,'VNA e PRT'!B:G,3,FALSE)</f>
        <v>-0.32</v>
      </c>
      <c r="T25" s="92">
        <f t="shared" si="7"/>
        <v>141846.45065842973</v>
      </c>
      <c r="U25" s="141">
        <f t="shared" si="8"/>
        <v>2.4773619527935398</v>
      </c>
      <c r="V25" s="134">
        <f t="shared" si="20"/>
        <v>351404.25517526519</v>
      </c>
      <c r="W25" s="134">
        <f t="shared" si="21"/>
        <v>-7.7468739480857085E-2</v>
      </c>
      <c r="X25" s="135">
        <f t="shared" si="22"/>
        <v>1.004523029355687</v>
      </c>
      <c r="Y25" s="99">
        <f t="shared" si="1"/>
        <v>0</v>
      </c>
      <c r="Z25" s="97">
        <f t="shared" si="9"/>
        <v>0</v>
      </c>
      <c r="AA25" s="92">
        <f t="shared" si="2"/>
        <v>351405</v>
      </c>
      <c r="AB25" s="92">
        <f t="shared" si="10"/>
        <v>351856.0491933751</v>
      </c>
      <c r="AC25" s="211">
        <f t="shared" si="11"/>
        <v>5.0912966550309413E-2</v>
      </c>
      <c r="AD25" s="93">
        <f t="shared" si="23"/>
        <v>1.0117488905890299</v>
      </c>
      <c r="AF25" s="92">
        <f t="shared" si="12"/>
        <v>-272</v>
      </c>
      <c r="AG25" s="92">
        <f t="shared" si="13"/>
        <v>451.04919337512422</v>
      </c>
      <c r="AH25" s="92">
        <f t="shared" si="24"/>
        <v>179.04919337512422</v>
      </c>
      <c r="AJ25" s="130">
        <v>6.45</v>
      </c>
      <c r="AK25" s="86">
        <v>6.5</v>
      </c>
      <c r="AL25" s="86">
        <v>13.65</v>
      </c>
    </row>
    <row r="26" spans="1:38" x14ac:dyDescent="0.3">
      <c r="A26" s="133">
        <f t="shared" si="14"/>
        <v>24</v>
      </c>
      <c r="B26" s="90">
        <v>44839</v>
      </c>
      <c r="C26" s="90">
        <f t="shared" si="15"/>
        <v>45519</v>
      </c>
      <c r="D26" s="91">
        <f>NETWORKDAYS(B26,C26-1,Feriados!$A$2:$A$2000)</f>
        <v>466</v>
      </c>
      <c r="E26" s="130">
        <v>6.4</v>
      </c>
      <c r="F26" s="92">
        <f t="shared" si="3"/>
        <v>-9.9999999999999645E-2</v>
      </c>
      <c r="G26" s="132">
        <f>TRUNC((100/(1+E26/100)^(D26/252)/100)*VLOOKUP(B26,'VNA e PRT'!B:C,2,FALSE),2)</f>
        <v>3520.5</v>
      </c>
      <c r="H26" s="92">
        <f t="shared" si="16"/>
        <v>352050</v>
      </c>
      <c r="I26" s="92">
        <f t="shared" si="4"/>
        <v>0.18354889657232754</v>
      </c>
      <c r="J26" s="93">
        <f t="shared" si="17"/>
        <v>1.0063689533534201</v>
      </c>
      <c r="K26" s="90">
        <f t="shared" si="5"/>
        <v>45519</v>
      </c>
      <c r="L26" s="130">
        <v>6.4</v>
      </c>
      <c r="M26" s="92">
        <f t="shared" si="6"/>
        <v>-9.9999999999999645E-2</v>
      </c>
      <c r="N26" s="92">
        <f t="shared" si="0"/>
        <v>89161.91</v>
      </c>
      <c r="O26" s="86">
        <v>13.65</v>
      </c>
      <c r="P26" s="92">
        <f t="shared" si="18"/>
        <v>89043.7</v>
      </c>
      <c r="Q26" s="94">
        <f t="shared" si="19"/>
        <v>188.43270221891402</v>
      </c>
      <c r="R26" s="92">
        <f>VLOOKUP(B26,'VNA e PRT'!B:G,6,FALSE)</f>
        <v>6375.2286547993399</v>
      </c>
      <c r="S26" s="239">
        <f>VLOOKUP(B26,'VNA e PRT'!B:G,3,FALSE)</f>
        <v>-0.32</v>
      </c>
      <c r="T26" s="92">
        <f t="shared" si="7"/>
        <v>142106.89088715997</v>
      </c>
      <c r="U26" s="141">
        <f t="shared" si="8"/>
        <v>2.4773605122326225</v>
      </c>
      <c r="V26" s="134">
        <f t="shared" si="20"/>
        <v>352049.54223523982</v>
      </c>
      <c r="W26" s="134">
        <f t="shared" si="21"/>
        <v>0.18363097500135872</v>
      </c>
      <c r="X26" s="135">
        <f t="shared" si="22"/>
        <v>1.0063676447886061</v>
      </c>
      <c r="Y26" s="99">
        <f t="shared" si="1"/>
        <v>0</v>
      </c>
      <c r="Z26" s="97">
        <f t="shared" si="9"/>
        <v>0</v>
      </c>
      <c r="AA26" s="92">
        <f t="shared" si="2"/>
        <v>352050</v>
      </c>
      <c r="AB26" s="92">
        <f t="shared" si="10"/>
        <v>351583.18426430959</v>
      </c>
      <c r="AC26" s="211">
        <f t="shared" si="11"/>
        <v>5.070624046601413E-2</v>
      </c>
      <c r="AD26" s="93">
        <f t="shared" si="23"/>
        <v>1.0122619104144042</v>
      </c>
      <c r="AF26" s="92">
        <f t="shared" si="12"/>
        <v>645</v>
      </c>
      <c r="AG26" s="92">
        <f t="shared" si="13"/>
        <v>-466.81573569042604</v>
      </c>
      <c r="AH26" s="92">
        <f t="shared" si="24"/>
        <v>178.18426430957396</v>
      </c>
      <c r="AJ26" s="130">
        <v>6.58</v>
      </c>
      <c r="AK26" s="86">
        <v>6.4</v>
      </c>
      <c r="AL26" s="86">
        <v>13.65</v>
      </c>
    </row>
    <row r="27" spans="1:38" x14ac:dyDescent="0.3">
      <c r="A27" s="133">
        <f t="shared" si="14"/>
        <v>25</v>
      </c>
      <c r="B27" s="90">
        <v>44840</v>
      </c>
      <c r="C27" s="90">
        <f t="shared" si="15"/>
        <v>45519</v>
      </c>
      <c r="D27" s="91">
        <f>NETWORKDAYS(B27,C27-1,Feriados!$A$2:$A$2000)</f>
        <v>465</v>
      </c>
      <c r="E27" s="130">
        <v>6.31</v>
      </c>
      <c r="F27" s="92">
        <f t="shared" si="3"/>
        <v>-9.0000000000000746E-2</v>
      </c>
      <c r="G27" s="132">
        <f>TRUNC((100/(1+E27/100)^(D27/252)/100)*VLOOKUP(B27,'VNA e PRT'!B:C,2,FALSE),2)</f>
        <v>3526.33</v>
      </c>
      <c r="H27" s="92">
        <f t="shared" si="16"/>
        <v>352633</v>
      </c>
      <c r="I27" s="92">
        <f t="shared" si="4"/>
        <v>0.1656014770629044</v>
      </c>
      <c r="J27" s="93">
        <f t="shared" si="17"/>
        <v>1.0080355152048759</v>
      </c>
      <c r="K27" s="90">
        <f t="shared" si="5"/>
        <v>45519</v>
      </c>
      <c r="L27" s="130">
        <v>6.31</v>
      </c>
      <c r="M27" s="92">
        <f t="shared" si="6"/>
        <v>-9.0000000000000746E-2</v>
      </c>
      <c r="N27" s="92">
        <f t="shared" si="0"/>
        <v>89323.23</v>
      </c>
      <c r="O27" s="86">
        <v>13.65</v>
      </c>
      <c r="P27" s="92">
        <f t="shared" si="18"/>
        <v>89220.81</v>
      </c>
      <c r="Q27" s="94">
        <f t="shared" si="19"/>
        <v>163.23772970613433</v>
      </c>
      <c r="R27" s="92">
        <f>VLOOKUP(B27,'VNA e PRT'!B:G,6,FALSE)</f>
        <v>6374.2557080749648</v>
      </c>
      <c r="S27" s="239">
        <f>VLOOKUP(B27,'VNA e PRT'!B:G,3,FALSE)</f>
        <v>-0.32</v>
      </c>
      <c r="T27" s="92">
        <f t="shared" si="7"/>
        <v>142342.27717279823</v>
      </c>
      <c r="U27" s="141">
        <f t="shared" si="8"/>
        <v>2.4773595519475684</v>
      </c>
      <c r="V27" s="134">
        <f t="shared" si="20"/>
        <v>352632.73983708263</v>
      </c>
      <c r="W27" s="134">
        <f t="shared" si="21"/>
        <v>0.16565782137933915</v>
      </c>
      <c r="X27" s="135">
        <f t="shared" si="22"/>
        <v>1.0080347715040294</v>
      </c>
      <c r="Y27" s="99">
        <f t="shared" si="1"/>
        <v>0</v>
      </c>
      <c r="Z27" s="97">
        <f t="shared" si="9"/>
        <v>0</v>
      </c>
      <c r="AA27" s="92">
        <f t="shared" si="2"/>
        <v>352633</v>
      </c>
      <c r="AB27" s="92">
        <f t="shared" si="10"/>
        <v>352228.6014510743</v>
      </c>
      <c r="AC27" s="211">
        <f t="shared" si="11"/>
        <v>5.0731842373052949E-2</v>
      </c>
      <c r="AD27" s="93">
        <f t="shared" si="23"/>
        <v>1.012775449531198</v>
      </c>
      <c r="AF27" s="92">
        <f t="shared" si="12"/>
        <v>583</v>
      </c>
      <c r="AG27" s="92">
        <f t="shared" si="13"/>
        <v>-404.3985489257272</v>
      </c>
      <c r="AH27" s="92">
        <f t="shared" si="24"/>
        <v>178.6014510742728</v>
      </c>
      <c r="AJ27" s="130">
        <v>6.4600000000000009</v>
      </c>
      <c r="AK27" s="86">
        <v>6.31</v>
      </c>
      <c r="AL27" s="86">
        <v>13.65</v>
      </c>
    </row>
    <row r="28" spans="1:38" x14ac:dyDescent="0.3">
      <c r="A28" s="133">
        <f t="shared" si="14"/>
        <v>26</v>
      </c>
      <c r="B28" s="90">
        <v>44841</v>
      </c>
      <c r="C28" s="90">
        <f t="shared" si="15"/>
        <v>45519</v>
      </c>
      <c r="D28" s="91">
        <f>NETWORKDAYS(B28,C28-1,Feriados!$A$2:$A$2000)</f>
        <v>464</v>
      </c>
      <c r="E28" s="130">
        <v>6.27</v>
      </c>
      <c r="F28" s="92">
        <f t="shared" si="3"/>
        <v>-4.0000000000000036E-2</v>
      </c>
      <c r="G28" s="132">
        <f>TRUNC((100/(1+E28/100)^(D28/252)/100)*VLOOKUP(B28,'VNA e PRT'!B:C,2,FALSE),2)</f>
        <v>3529.1</v>
      </c>
      <c r="H28" s="92">
        <f t="shared" si="16"/>
        <v>352910</v>
      </c>
      <c r="I28" s="92">
        <f t="shared" si="4"/>
        <v>7.8551922253455864E-2</v>
      </c>
      <c r="J28" s="93">
        <f t="shared" si="17"/>
        <v>1.0088273464790669</v>
      </c>
      <c r="K28" s="90">
        <f t="shared" si="5"/>
        <v>45519</v>
      </c>
      <c r="L28" s="130">
        <v>6.27</v>
      </c>
      <c r="M28" s="92">
        <f t="shared" si="6"/>
        <v>-4.0000000000000036E-2</v>
      </c>
      <c r="N28" s="92">
        <f t="shared" si="0"/>
        <v>89406.85</v>
      </c>
      <c r="O28" s="86">
        <v>13.65</v>
      </c>
      <c r="P28" s="92">
        <f t="shared" si="18"/>
        <v>89382.24</v>
      </c>
      <c r="Q28" s="94">
        <f t="shared" si="19"/>
        <v>39.217608243932148</v>
      </c>
      <c r="R28" s="92">
        <f>VLOOKUP(B28,'VNA e PRT'!B:G,6,FALSE)</f>
        <v>6373.2829082809067</v>
      </c>
      <c r="S28" s="239">
        <f>VLOOKUP(B28,'VNA e PRT'!B:G,3,FALSE)</f>
        <v>-0.32</v>
      </c>
      <c r="T28" s="92">
        <f t="shared" si="7"/>
        <v>142453.7872470587</v>
      </c>
      <c r="U28" s="141">
        <f t="shared" si="8"/>
        <v>2.477364812968752</v>
      </c>
      <c r="V28" s="134">
        <f t="shared" si="20"/>
        <v>352908.99140732776</v>
      </c>
      <c r="W28" s="134">
        <f t="shared" si="21"/>
        <v>7.8339739631871907E-2</v>
      </c>
      <c r="X28" s="135">
        <f t="shared" si="22"/>
        <v>1.0088244633194243</v>
      </c>
      <c r="Y28" s="99">
        <f t="shared" si="1"/>
        <v>0</v>
      </c>
      <c r="Z28" s="97">
        <f t="shared" si="9"/>
        <v>0</v>
      </c>
      <c r="AA28" s="92">
        <f t="shared" si="2"/>
        <v>352910</v>
      </c>
      <c r="AB28" s="92">
        <f t="shared" si="10"/>
        <v>352812.84367728769</v>
      </c>
      <c r="AC28" s="211">
        <f t="shared" si="11"/>
        <v>5.100024027464567E-2</v>
      </c>
      <c r="AD28" s="93">
        <f t="shared" si="23"/>
        <v>1.0132919674439016</v>
      </c>
      <c r="AF28" s="92">
        <f t="shared" si="12"/>
        <v>277</v>
      </c>
      <c r="AG28" s="92">
        <f t="shared" si="13"/>
        <v>-97.156322712310754</v>
      </c>
      <c r="AH28" s="92">
        <f t="shared" si="24"/>
        <v>179.84367728768925</v>
      </c>
      <c r="AJ28" s="130">
        <v>6.419999999999999</v>
      </c>
      <c r="AK28" s="86">
        <v>6.27</v>
      </c>
      <c r="AL28" s="86">
        <v>13.65</v>
      </c>
    </row>
    <row r="29" spans="1:38" x14ac:dyDescent="0.3">
      <c r="A29" s="133">
        <f t="shared" si="14"/>
        <v>27</v>
      </c>
      <c r="B29" s="90">
        <v>44844</v>
      </c>
      <c r="C29" s="90">
        <f t="shared" si="15"/>
        <v>45519</v>
      </c>
      <c r="D29" s="91">
        <f>NETWORKDAYS(B29,C29-1,Feriados!$A$2:$A$2000)</f>
        <v>463</v>
      </c>
      <c r="E29" s="130">
        <v>6.33</v>
      </c>
      <c r="F29" s="92">
        <f t="shared" si="3"/>
        <v>6.0000000000000497E-2</v>
      </c>
      <c r="G29" s="132">
        <f>TRUNC((100/(1+E29/100)^(D29/252)/100)*VLOOKUP(B29,'VNA e PRT'!B:C,2,FALSE),2)</f>
        <v>3525.75</v>
      </c>
      <c r="H29" s="92">
        <f t="shared" si="16"/>
        <v>352575</v>
      </c>
      <c r="I29" s="92">
        <f t="shared" si="4"/>
        <v>-9.4925051712901887E-2</v>
      </c>
      <c r="J29" s="93">
        <f t="shared" si="17"/>
        <v>1.0078697165987278</v>
      </c>
      <c r="K29" s="90">
        <f t="shared" si="5"/>
        <v>45519</v>
      </c>
      <c r="L29" s="130">
        <v>6.33</v>
      </c>
      <c r="M29" s="92">
        <f t="shared" si="6"/>
        <v>6.0000000000000497E-2</v>
      </c>
      <c r="N29" s="92">
        <f t="shared" si="0"/>
        <v>89335.74</v>
      </c>
      <c r="O29" s="86">
        <v>13.65</v>
      </c>
      <c r="P29" s="92">
        <f t="shared" si="18"/>
        <v>89465.91</v>
      </c>
      <c r="Q29" s="94">
        <f t="shared" si="19"/>
        <v>-207.40255904272863</v>
      </c>
      <c r="R29" s="92">
        <f>VLOOKUP(B29,'VNA e PRT'!B:G,6,FALSE)</f>
        <v>6372.3102586464038</v>
      </c>
      <c r="S29" s="239">
        <f>VLOOKUP(B29,'VNA e PRT'!B:G,3,FALSE)</f>
        <v>-0.32</v>
      </c>
      <c r="T29" s="92">
        <f t="shared" si="7"/>
        <v>142318.76311644196</v>
      </c>
      <c r="U29" s="141">
        <f t="shared" si="8"/>
        <v>2.4773613280459106</v>
      </c>
      <c r="V29" s="134">
        <f t="shared" si="20"/>
        <v>352574.41587850102</v>
      </c>
      <c r="W29" s="134">
        <f t="shared" si="21"/>
        <v>-9.4805045202306371E-2</v>
      </c>
      <c r="X29" s="135">
        <f t="shared" si="22"/>
        <v>1.0078680468309624</v>
      </c>
      <c r="Y29" s="99">
        <f t="shared" si="1"/>
        <v>0</v>
      </c>
      <c r="Z29" s="97">
        <f t="shared" si="9"/>
        <v>0</v>
      </c>
      <c r="AA29" s="92">
        <f t="shared" si="2"/>
        <v>352575</v>
      </c>
      <c r="AB29" s="92">
        <f t="shared" si="10"/>
        <v>353088.81107911019</v>
      </c>
      <c r="AC29" s="211">
        <f t="shared" si="11"/>
        <v>5.0667614720523169E-2</v>
      </c>
      <c r="AD29" s="93">
        <f t="shared" si="23"/>
        <v>1.01380537831396</v>
      </c>
      <c r="AF29" s="92">
        <f t="shared" si="12"/>
        <v>-335</v>
      </c>
      <c r="AG29" s="92">
        <f t="shared" si="13"/>
        <v>513.81107911021456</v>
      </c>
      <c r="AH29" s="92">
        <f t="shared" si="24"/>
        <v>178.81107911021456</v>
      </c>
      <c r="AJ29" s="130">
        <v>6.35</v>
      </c>
      <c r="AK29" s="86">
        <v>6.33</v>
      </c>
      <c r="AL29" s="86">
        <v>13.65</v>
      </c>
    </row>
    <row r="30" spans="1:38" x14ac:dyDescent="0.3">
      <c r="A30" s="133">
        <f t="shared" si="14"/>
        <v>28</v>
      </c>
      <c r="B30" s="90">
        <v>44845</v>
      </c>
      <c r="C30" s="90">
        <f t="shared" si="15"/>
        <v>45519</v>
      </c>
      <c r="D30" s="91">
        <f>NETWORKDAYS(B30,C30-1,Feriados!$A$2:$A$2000)</f>
        <v>462</v>
      </c>
      <c r="E30" s="130">
        <v>6.33</v>
      </c>
      <c r="F30" s="92">
        <f t="shared" si="3"/>
        <v>0</v>
      </c>
      <c r="G30" s="132">
        <f>TRUNC((100/(1+E30/100)^(D30/252)/100)*VLOOKUP(B30,'VNA e PRT'!B:C,2,FALSE),2)</f>
        <v>3526.98</v>
      </c>
      <c r="H30" s="92">
        <f t="shared" si="16"/>
        <v>352698</v>
      </c>
      <c r="I30" s="92">
        <f t="shared" si="4"/>
        <v>3.4886194426708705E-2</v>
      </c>
      <c r="J30" s="93">
        <f t="shared" si="17"/>
        <v>1.0082213239876283</v>
      </c>
      <c r="K30" s="90">
        <f t="shared" si="5"/>
        <v>45519</v>
      </c>
      <c r="L30" s="130">
        <v>6.33</v>
      </c>
      <c r="M30" s="92">
        <f t="shared" si="6"/>
        <v>0</v>
      </c>
      <c r="N30" s="92">
        <f t="shared" si="0"/>
        <v>89357.5</v>
      </c>
      <c r="O30" s="86">
        <v>13.65</v>
      </c>
      <c r="P30" s="92">
        <f t="shared" si="18"/>
        <v>89371.73</v>
      </c>
      <c r="Q30" s="94">
        <f t="shared" si="19"/>
        <v>-22.669493745128094</v>
      </c>
      <c r="R30" s="92">
        <f>VLOOKUP(B30,'VNA e PRT'!B:G,6,FALSE)</f>
        <v>6372.9793728509294</v>
      </c>
      <c r="S30" s="239">
        <f>VLOOKUP(B30,'VNA e PRT'!B:G,3,FALSE)</f>
        <v>-0.28999999999999998</v>
      </c>
      <c r="T30" s="92">
        <f t="shared" si="7"/>
        <v>142368.37607738172</v>
      </c>
      <c r="U30" s="141">
        <f t="shared" si="8"/>
        <v>2.4773619656116432</v>
      </c>
      <c r="V30" s="134">
        <f t="shared" si="20"/>
        <v>352697.32096285612</v>
      </c>
      <c r="W30" s="134">
        <f t="shared" si="21"/>
        <v>3.4859331482928191E-2</v>
      </c>
      <c r="X30" s="135">
        <f t="shared" si="22"/>
        <v>1.0082193828943178</v>
      </c>
      <c r="Y30" s="99">
        <f t="shared" si="1"/>
        <v>0</v>
      </c>
      <c r="Z30" s="97">
        <f t="shared" si="9"/>
        <v>0</v>
      </c>
      <c r="AA30" s="92">
        <f t="shared" si="2"/>
        <v>352698</v>
      </c>
      <c r="AB30" s="92">
        <f t="shared" si="10"/>
        <v>352754.16054158384</v>
      </c>
      <c r="AC30" s="211">
        <f t="shared" si="11"/>
        <v>5.0814873880411504E-2</v>
      </c>
      <c r="AD30" s="93">
        <f t="shared" si="23"/>
        <v>1.014320542238343</v>
      </c>
      <c r="AF30" s="92">
        <f t="shared" si="12"/>
        <v>123</v>
      </c>
      <c r="AG30" s="92">
        <f t="shared" si="13"/>
        <v>56.160541583851384</v>
      </c>
      <c r="AH30" s="92">
        <f t="shared" si="24"/>
        <v>179.1605415838514</v>
      </c>
      <c r="AJ30" s="130">
        <v>6.4399999999999995</v>
      </c>
      <c r="AK30" s="86">
        <v>6.33</v>
      </c>
      <c r="AL30" s="86">
        <v>13.65</v>
      </c>
    </row>
    <row r="31" spans="1:38" x14ac:dyDescent="0.3">
      <c r="A31" s="133">
        <f t="shared" si="14"/>
        <v>29</v>
      </c>
      <c r="B31" s="90">
        <v>44847</v>
      </c>
      <c r="C31" s="90">
        <f t="shared" si="15"/>
        <v>45519</v>
      </c>
      <c r="D31" s="91">
        <f>NETWORKDAYS(B31,C31-1,Feriados!$A$2:$A$2000)</f>
        <v>461</v>
      </c>
      <c r="E31" s="130">
        <v>6.25</v>
      </c>
      <c r="F31" s="92">
        <f t="shared" si="3"/>
        <v>-8.0000000000000071E-2</v>
      </c>
      <c r="G31" s="132">
        <f>TRUNC((100/(1+E31/100)^(D31/252)/100)*VLOOKUP(B31,'VNA e PRT'!B:C,2,FALSE),2)</f>
        <v>3532.21</v>
      </c>
      <c r="H31" s="92">
        <f t="shared" si="16"/>
        <v>353221</v>
      </c>
      <c r="I31" s="92">
        <f t="shared" si="4"/>
        <v>0.14828550204424307</v>
      </c>
      <c r="J31" s="93">
        <f t="shared" si="17"/>
        <v>1.0097163700396206</v>
      </c>
      <c r="K31" s="90">
        <f t="shared" si="5"/>
        <v>45519</v>
      </c>
      <c r="L31" s="130">
        <v>6.25</v>
      </c>
      <c r="M31" s="92">
        <f t="shared" si="6"/>
        <v>-8.0000000000000071E-2</v>
      </c>
      <c r="N31" s="92">
        <f t="shared" si="0"/>
        <v>89502.42</v>
      </c>
      <c r="O31" s="86">
        <v>13.65</v>
      </c>
      <c r="P31" s="92">
        <f t="shared" si="18"/>
        <v>89415.25</v>
      </c>
      <c r="Q31" s="94">
        <f t="shared" si="19"/>
        <v>138.8831529828511</v>
      </c>
      <c r="R31" s="92">
        <f>VLOOKUP(B31,'VNA e PRT'!B:G,6,FALSE)</f>
        <v>6372.0979685578177</v>
      </c>
      <c r="S31" s="239">
        <f>VLOOKUP(B31,'VNA e PRT'!B:G,3,FALSE)</f>
        <v>-0.28999999999999998</v>
      </c>
      <c r="T31" s="92">
        <f t="shared" si="7"/>
        <v>142579.54716575216</v>
      </c>
      <c r="U31" s="141">
        <f t="shared" si="8"/>
        <v>2.477360933047235</v>
      </c>
      <c r="V31" s="134">
        <f t="shared" si="20"/>
        <v>353220.51270733331</v>
      </c>
      <c r="W31" s="134">
        <f t="shared" si="21"/>
        <v>0.1483401526977568</v>
      </c>
      <c r="X31" s="135">
        <f t="shared" si="22"/>
        <v>1.0097149770664315</v>
      </c>
      <c r="Y31" s="99">
        <f t="shared" si="1"/>
        <v>0</v>
      </c>
      <c r="Z31" s="97">
        <f t="shared" si="9"/>
        <v>0</v>
      </c>
      <c r="AA31" s="92">
        <f t="shared" si="2"/>
        <v>353221</v>
      </c>
      <c r="AB31" s="92">
        <f t="shared" si="10"/>
        <v>352876.93630254187</v>
      </c>
      <c r="AC31" s="211">
        <f t="shared" si="11"/>
        <v>5.0733574486350186E-2</v>
      </c>
      <c r="AD31" s="93">
        <f t="shared" si="23"/>
        <v>1.0148351433061698</v>
      </c>
      <c r="AF31" s="92">
        <f t="shared" si="12"/>
        <v>523</v>
      </c>
      <c r="AG31" s="92">
        <f t="shared" si="13"/>
        <v>-344.06369745813788</v>
      </c>
      <c r="AH31" s="92">
        <f t="shared" si="24"/>
        <v>178.93630254186212</v>
      </c>
      <c r="AJ31" s="130">
        <v>6.36</v>
      </c>
      <c r="AK31" s="86">
        <v>6.25</v>
      </c>
      <c r="AL31" s="86">
        <v>13.65</v>
      </c>
    </row>
    <row r="32" spans="1:38" x14ac:dyDescent="0.3">
      <c r="A32" s="133">
        <f t="shared" si="14"/>
        <v>30</v>
      </c>
      <c r="B32" s="90">
        <v>44848</v>
      </c>
      <c r="C32" s="90">
        <f t="shared" si="15"/>
        <v>45519</v>
      </c>
      <c r="D32" s="91">
        <f>NETWORKDAYS(B32,C32-1,Feriados!$A$2:$A$2000)</f>
        <v>460</v>
      </c>
      <c r="E32" s="130">
        <v>6.2</v>
      </c>
      <c r="F32" s="92">
        <f t="shared" si="3"/>
        <v>-4.9999999999999822E-2</v>
      </c>
      <c r="G32" s="132">
        <f>TRUNC((100/(1+E32/100)^(D32/252)/100)*VLOOKUP(B32,'VNA e PRT'!B:C,2,FALSE),2)</f>
        <v>3535.61</v>
      </c>
      <c r="H32" s="92">
        <f t="shared" si="16"/>
        <v>353561</v>
      </c>
      <c r="I32" s="92">
        <f t="shared" si="4"/>
        <v>9.6257017561240943E-2</v>
      </c>
      <c r="J32" s="93">
        <f t="shared" si="17"/>
        <v>1.0106882929032484</v>
      </c>
      <c r="K32" s="90">
        <f t="shared" si="5"/>
        <v>45519</v>
      </c>
      <c r="L32" s="130">
        <v>6.2</v>
      </c>
      <c r="M32" s="92">
        <f t="shared" si="6"/>
        <v>-4.9999999999999822E-2</v>
      </c>
      <c r="N32" s="92">
        <f t="shared" si="0"/>
        <v>89600.9</v>
      </c>
      <c r="O32" s="86">
        <v>13.65</v>
      </c>
      <c r="P32" s="92">
        <f t="shared" si="18"/>
        <v>89560.26</v>
      </c>
      <c r="Q32" s="94">
        <f t="shared" si="19"/>
        <v>64.74051536054651</v>
      </c>
      <c r="R32" s="92">
        <f>VLOOKUP(B32,'VNA e PRT'!B:G,6,FALSE)</f>
        <v>6371.2166869757402</v>
      </c>
      <c r="S32" s="239">
        <f>VLOOKUP(B32,'VNA e PRT'!B:G,3,FALSE)</f>
        <v>-0.28999999999999998</v>
      </c>
      <c r="T32" s="92">
        <f t="shared" si="7"/>
        <v>142716.68731201114</v>
      </c>
      <c r="U32" s="141">
        <f t="shared" si="8"/>
        <v>2.4773627153146798</v>
      </c>
      <c r="V32" s="134">
        <f t="shared" si="20"/>
        <v>353560.29221209534</v>
      </c>
      <c r="W32" s="134">
        <f t="shared" si="21"/>
        <v>9.6194726109688489E-2</v>
      </c>
      <c r="X32" s="135">
        <f t="shared" si="22"/>
        <v>1.0106862696231091</v>
      </c>
      <c r="Y32" s="99">
        <f t="shared" si="1"/>
        <v>0</v>
      </c>
      <c r="Z32" s="97">
        <f t="shared" si="9"/>
        <v>0</v>
      </c>
      <c r="AA32" s="92">
        <f t="shared" si="2"/>
        <v>353561</v>
      </c>
      <c r="AB32" s="92">
        <f t="shared" si="10"/>
        <v>353400.61426107551</v>
      </c>
      <c r="AC32" s="211">
        <f t="shared" si="11"/>
        <v>5.0850391419388075E-2</v>
      </c>
      <c r="AD32" s="93">
        <f t="shared" si="23"/>
        <v>1.0153511909488024</v>
      </c>
      <c r="AF32" s="92">
        <f t="shared" si="12"/>
        <v>340</v>
      </c>
      <c r="AG32" s="92">
        <f t="shared" si="13"/>
        <v>-160.38573892447525</v>
      </c>
      <c r="AH32" s="92">
        <f t="shared" si="24"/>
        <v>179.61426107552475</v>
      </c>
      <c r="AJ32" s="130">
        <v>6.34</v>
      </c>
      <c r="AK32" s="86">
        <v>6.2</v>
      </c>
      <c r="AL32" s="86">
        <v>13.65</v>
      </c>
    </row>
    <row r="33" spans="1:38" x14ac:dyDescent="0.3">
      <c r="A33" s="133">
        <f t="shared" si="14"/>
        <v>31</v>
      </c>
      <c r="B33" s="90">
        <v>44851</v>
      </c>
      <c r="C33" s="90">
        <f t="shared" si="15"/>
        <v>45519</v>
      </c>
      <c r="D33" s="91">
        <f>NETWORKDAYS(B33,C33-1,Feriados!$A$2:$A$2000)</f>
        <v>459</v>
      </c>
      <c r="E33" s="130">
        <v>6.18</v>
      </c>
      <c r="F33" s="92">
        <f t="shared" si="3"/>
        <v>-2.0000000000000462E-2</v>
      </c>
      <c r="G33" s="132">
        <f>TRUNC((100/(1+E33/100)^(D33/252)/100)*VLOOKUP(B33,'VNA e PRT'!B:C,2,FALSE),2)</f>
        <v>3537.18</v>
      </c>
      <c r="H33" s="92">
        <f t="shared" si="16"/>
        <v>353718</v>
      </c>
      <c r="I33" s="92">
        <f t="shared" si="4"/>
        <v>4.4405350137588506E-2</v>
      </c>
      <c r="J33" s="93">
        <f t="shared" si="17"/>
        <v>1.0111370925785117</v>
      </c>
      <c r="K33" s="90">
        <f t="shared" si="5"/>
        <v>45519</v>
      </c>
      <c r="L33" s="130">
        <v>6.18</v>
      </c>
      <c r="M33" s="92">
        <f t="shared" si="6"/>
        <v>-2.0000000000000462E-2</v>
      </c>
      <c r="N33" s="92">
        <f t="shared" si="0"/>
        <v>89653.04</v>
      </c>
      <c r="O33" s="86">
        <v>13.65</v>
      </c>
      <c r="P33" s="92">
        <f t="shared" si="18"/>
        <v>89658.81</v>
      </c>
      <c r="Q33" s="94">
        <f t="shared" si="19"/>
        <v>-9.1904800709689951</v>
      </c>
      <c r="R33" s="92">
        <f>VLOOKUP(B33,'VNA e PRT'!B:G,6,FALSE)</f>
        <v>6370.3355281046961</v>
      </c>
      <c r="S33" s="239">
        <f>VLOOKUP(B33,'VNA e PRT'!B:G,3,FALSE)</f>
        <v>-0.28999999999999998</v>
      </c>
      <c r="T33" s="92">
        <f t="shared" si="7"/>
        <v>142779.98647864786</v>
      </c>
      <c r="U33" s="141">
        <f t="shared" si="8"/>
        <v>2.4773640110471438</v>
      </c>
      <c r="V33" s="134">
        <f t="shared" si="20"/>
        <v>353717.09038070252</v>
      </c>
      <c r="W33" s="134">
        <f t="shared" si="21"/>
        <v>4.4348353607848168E-2</v>
      </c>
      <c r="X33" s="135">
        <f t="shared" si="22"/>
        <v>1.0111344923438275</v>
      </c>
      <c r="Y33" s="99">
        <f t="shared" si="1"/>
        <v>0</v>
      </c>
      <c r="Z33" s="97">
        <f t="shared" si="9"/>
        <v>0</v>
      </c>
      <c r="AA33" s="92">
        <f t="shared" si="2"/>
        <v>353718</v>
      </c>
      <c r="AB33" s="92">
        <f t="shared" si="10"/>
        <v>353740.76816457207</v>
      </c>
      <c r="AC33" s="211">
        <f t="shared" si="11"/>
        <v>5.0845020964440657E-2</v>
      </c>
      <c r="AD33" s="93">
        <f t="shared" si="23"/>
        <v>1.0158674464747031</v>
      </c>
      <c r="AF33" s="92">
        <f t="shared" si="12"/>
        <v>157</v>
      </c>
      <c r="AG33" s="92">
        <f t="shared" si="13"/>
        <v>22.768164572064588</v>
      </c>
      <c r="AH33" s="92">
        <f t="shared" si="24"/>
        <v>179.76816457206459</v>
      </c>
      <c r="AJ33" s="130">
        <v>6.2600000000000007</v>
      </c>
      <c r="AK33" s="86">
        <v>6.18</v>
      </c>
      <c r="AL33" s="86">
        <v>13.65</v>
      </c>
    </row>
    <row r="34" spans="1:38" x14ac:dyDescent="0.3">
      <c r="A34" s="133">
        <f t="shared" si="14"/>
        <v>32</v>
      </c>
      <c r="B34" s="90">
        <v>44852</v>
      </c>
      <c r="C34" s="90">
        <f t="shared" si="15"/>
        <v>45519</v>
      </c>
      <c r="D34" s="91">
        <f>NETWORKDAYS(B34,C34-1,Feriados!$A$2:$A$2000)</f>
        <v>458</v>
      </c>
      <c r="E34" s="130">
        <v>6.11</v>
      </c>
      <c r="F34" s="92">
        <f t="shared" si="3"/>
        <v>-6.9999999999999396E-2</v>
      </c>
      <c r="G34" s="132">
        <f>TRUNC((100/(1+E34/100)^(D34/252)/100)*VLOOKUP(B34,'VNA e PRT'!B:C,2,FALSE),2)</f>
        <v>3542.84</v>
      </c>
      <c r="H34" s="92">
        <f t="shared" si="16"/>
        <v>354284</v>
      </c>
      <c r="I34" s="92">
        <f t="shared" si="4"/>
        <v>0.16001447480762376</v>
      </c>
      <c r="J34" s="93">
        <f t="shared" si="17"/>
        <v>1.0127550582867864</v>
      </c>
      <c r="K34" s="90">
        <f t="shared" si="5"/>
        <v>45519</v>
      </c>
      <c r="L34" s="130">
        <v>6.11</v>
      </c>
      <c r="M34" s="92">
        <f t="shared" si="6"/>
        <v>-6.9999999999999396E-2</v>
      </c>
      <c r="N34" s="92">
        <f t="shared" ref="N34:N65" si="25">ROUND((100000/(L34/100+1)^(D34/252)),2)</f>
        <v>89781.93</v>
      </c>
      <c r="O34" s="86">
        <v>13.65</v>
      </c>
      <c r="P34" s="92">
        <f t="shared" si="18"/>
        <v>89683.8</v>
      </c>
      <c r="Q34" s="94">
        <f t="shared" si="19"/>
        <v>156.2802563432127</v>
      </c>
      <c r="R34" s="92">
        <f>VLOOKUP(B34,'VNA e PRT'!B:G,6,FALSE)</f>
        <v>6371.3849883879238</v>
      </c>
      <c r="S34" s="239">
        <f>VLOOKUP(B34,'VNA e PRT'!B:G,3,FALSE)</f>
        <v>0.33</v>
      </c>
      <c r="T34" s="92">
        <f t="shared" si="7"/>
        <v>143008.81025762382</v>
      </c>
      <c r="U34" s="141">
        <f t="shared" si="8"/>
        <v>2.4773578590142358</v>
      </c>
      <c r="V34" s="134">
        <f t="shared" si="20"/>
        <v>354283.89846985479</v>
      </c>
      <c r="W34" s="134">
        <f t="shared" si="21"/>
        <v>0.16024334265054563</v>
      </c>
      <c r="X34" s="135">
        <f t="shared" si="22"/>
        <v>1.0127547680530518</v>
      </c>
      <c r="Y34" s="99">
        <f t="shared" ref="Y34:Y65" si="26">+E34-L34</f>
        <v>0</v>
      </c>
      <c r="Z34" s="97">
        <f t="shared" si="9"/>
        <v>0</v>
      </c>
      <c r="AA34" s="92">
        <f t="shared" ref="AA34:AA65" si="27">+H34</f>
        <v>354284</v>
      </c>
      <c r="AB34" s="92">
        <f t="shared" si="10"/>
        <v>353896.8378787394</v>
      </c>
      <c r="AC34" s="211">
        <f t="shared" si="11"/>
        <v>5.0559450957932128E-2</v>
      </c>
      <c r="AD34" s="93">
        <f t="shared" si="23"/>
        <v>1.016381063478101</v>
      </c>
      <c r="AF34" s="92">
        <f t="shared" si="12"/>
        <v>566</v>
      </c>
      <c r="AG34" s="92">
        <f t="shared" si="13"/>
        <v>-387.16212126061737</v>
      </c>
      <c r="AH34" s="92">
        <f t="shared" si="24"/>
        <v>178.83787873938263</v>
      </c>
      <c r="AJ34" s="130">
        <v>6.27</v>
      </c>
      <c r="AK34" s="86">
        <v>6.11</v>
      </c>
      <c r="AL34" s="86">
        <v>13.65</v>
      </c>
    </row>
    <row r="35" spans="1:38" x14ac:dyDescent="0.3">
      <c r="A35" s="133">
        <f t="shared" si="14"/>
        <v>33</v>
      </c>
      <c r="B35" s="90">
        <v>44853</v>
      </c>
      <c r="C35" s="90">
        <f t="shared" si="15"/>
        <v>45519</v>
      </c>
      <c r="D35" s="91">
        <f>NETWORKDAYS(B35,C35-1,Feriados!$A$2:$A$2000)</f>
        <v>457</v>
      </c>
      <c r="E35" s="130">
        <v>6.04</v>
      </c>
      <c r="F35" s="92">
        <f t="shared" si="3"/>
        <v>-7.0000000000000284E-2</v>
      </c>
      <c r="G35" s="132">
        <f>TRUNC((100/(1+E35/100)^(D35/252)/100)*VLOOKUP(B35,'VNA e PRT'!B:C,2,FALSE),2)</f>
        <v>3548.51</v>
      </c>
      <c r="H35" s="92">
        <f t="shared" si="16"/>
        <v>354851</v>
      </c>
      <c r="I35" s="92">
        <f t="shared" ref="I35:I65" si="28">+(G35/G34-1)*100</f>
        <v>0.16004109697305147</v>
      </c>
      <c r="J35" s="93">
        <f t="shared" si="17"/>
        <v>1.0143758825917186</v>
      </c>
      <c r="K35" s="90">
        <f t="shared" si="5"/>
        <v>45519</v>
      </c>
      <c r="L35" s="130">
        <v>6.04</v>
      </c>
      <c r="M35" s="92">
        <f t="shared" si="6"/>
        <v>-7.0000000000000284E-2</v>
      </c>
      <c r="N35" s="92">
        <f t="shared" si="25"/>
        <v>89910.59</v>
      </c>
      <c r="O35" s="86">
        <v>13.65</v>
      </c>
      <c r="P35" s="92">
        <f t="shared" si="18"/>
        <v>89812.73</v>
      </c>
      <c r="Q35" s="94">
        <f t="shared" si="19"/>
        <v>155.87593374091148</v>
      </c>
      <c r="R35" s="92">
        <f>VLOOKUP(B35,'VNA e PRT'!B:G,6,FALSE)</f>
        <v>6372.4346230499877</v>
      </c>
      <c r="S35" s="239">
        <f>VLOOKUP(B35,'VNA e PRT'!B:G,3,FALSE)</f>
        <v>0.33</v>
      </c>
      <c r="T35" s="92">
        <f t="shared" si="7"/>
        <v>143237.339173713</v>
      </c>
      <c r="U35" s="141">
        <f t="shared" si="8"/>
        <v>2.4773638078381901</v>
      </c>
      <c r="V35" s="134">
        <f t="shared" si="20"/>
        <v>354849.99370521301</v>
      </c>
      <c r="W35" s="134">
        <f t="shared" si="21"/>
        <v>0.15978576441186831</v>
      </c>
      <c r="X35" s="135">
        <f t="shared" si="22"/>
        <v>1.0143730060008029</v>
      </c>
      <c r="Y35" s="99">
        <f t="shared" si="26"/>
        <v>0</v>
      </c>
      <c r="Z35" s="97">
        <f t="shared" si="9"/>
        <v>0</v>
      </c>
      <c r="AA35" s="92">
        <f t="shared" si="27"/>
        <v>354851</v>
      </c>
      <c r="AB35" s="92">
        <f t="shared" ref="AB35:AB66" si="29">+AA35-(Q35*U35)</f>
        <v>354464.83860323729</v>
      </c>
      <c r="AC35" s="211">
        <f t="shared" ref="AC35:AC66" si="30">+(AB35/AA34-1)*100</f>
        <v>5.10434011237626E-2</v>
      </c>
      <c r="AD35" s="93">
        <f t="shared" si="23"/>
        <v>1.0168998589412781</v>
      </c>
      <c r="AF35" s="92">
        <f t="shared" ref="AF35:AF65" si="31">+AA35-AA34</f>
        <v>567</v>
      </c>
      <c r="AG35" s="92">
        <f t="shared" ref="AG35:AG65" si="32">-(Q35*U35)</f>
        <v>-386.16139676271786</v>
      </c>
      <c r="AH35" s="92">
        <f t="shared" si="24"/>
        <v>180.83860323728214</v>
      </c>
      <c r="AJ35" s="130">
        <v>6.23</v>
      </c>
      <c r="AK35" s="86">
        <v>6.04</v>
      </c>
      <c r="AL35" s="86">
        <v>13.65</v>
      </c>
    </row>
    <row r="36" spans="1:38" x14ac:dyDescent="0.3">
      <c r="A36" s="133">
        <f t="shared" si="14"/>
        <v>34</v>
      </c>
      <c r="B36" s="90">
        <v>44854</v>
      </c>
      <c r="C36" s="90">
        <f t="shared" si="15"/>
        <v>45519</v>
      </c>
      <c r="D36" s="91">
        <f>NETWORKDAYS(B36,C36-1,Feriados!$A$2:$A$2000)</f>
        <v>456</v>
      </c>
      <c r="E36" s="130">
        <v>6.01</v>
      </c>
      <c r="F36" s="92">
        <f t="shared" si="3"/>
        <v>-3.0000000000000249E-2</v>
      </c>
      <c r="G36" s="132">
        <f>TRUNC((100/(1+E36/100)^(D36/252)/100)*VLOOKUP(B36,'VNA e PRT'!B:C,2,FALSE),2)</f>
        <v>3551.74</v>
      </c>
      <c r="H36" s="92">
        <f t="shared" si="16"/>
        <v>355174</v>
      </c>
      <c r="I36" s="92">
        <f t="shared" si="28"/>
        <v>9.102411998274107E-2</v>
      </c>
      <c r="J36" s="93">
        <f t="shared" si="17"/>
        <v>1.0152992093121649</v>
      </c>
      <c r="K36" s="90">
        <f t="shared" si="5"/>
        <v>45519</v>
      </c>
      <c r="L36" s="130">
        <v>6.01</v>
      </c>
      <c r="M36" s="92">
        <f t="shared" si="6"/>
        <v>-3.0000000000000249E-2</v>
      </c>
      <c r="N36" s="92">
        <f t="shared" si="25"/>
        <v>89977.58</v>
      </c>
      <c r="O36" s="86">
        <v>13.65</v>
      </c>
      <c r="P36" s="92">
        <f t="shared" si="18"/>
        <v>89941.440000000002</v>
      </c>
      <c r="Q36" s="94">
        <f t="shared" si="19"/>
        <v>57.574946819255707</v>
      </c>
      <c r="R36" s="92">
        <f>VLOOKUP(B36,'VNA e PRT'!B:G,6,FALSE)</f>
        <v>6373.4844304762728</v>
      </c>
      <c r="S36" s="239">
        <f>VLOOKUP(B36,'VNA e PRT'!B:G,3,FALSE)</f>
        <v>0.33</v>
      </c>
      <c r="T36" s="92">
        <f t="shared" si="7"/>
        <v>143367.67630548333</v>
      </c>
      <c r="U36" s="141">
        <f t="shared" si="8"/>
        <v>2.4773645577069021</v>
      </c>
      <c r="V36" s="134">
        <f t="shared" si="20"/>
        <v>355172.84918512986</v>
      </c>
      <c r="W36" s="134">
        <f t="shared" si="21"/>
        <v>9.0983651019893585E-2</v>
      </c>
      <c r="X36" s="135">
        <f t="shared" si="22"/>
        <v>1.0152959195966227</v>
      </c>
      <c r="Y36" s="99">
        <f t="shared" si="26"/>
        <v>0</v>
      </c>
      <c r="Z36" s="97">
        <f t="shared" si="9"/>
        <v>0</v>
      </c>
      <c r="AA36" s="92">
        <f t="shared" si="27"/>
        <v>355174</v>
      </c>
      <c r="AB36" s="92">
        <f t="shared" si="29"/>
        <v>355031.36586733814</v>
      </c>
      <c r="AC36" s="211">
        <f t="shared" si="30"/>
        <v>5.0828620276721637E-2</v>
      </c>
      <c r="AD36" s="93">
        <f t="shared" si="23"/>
        <v>1.0174167351091739</v>
      </c>
      <c r="AF36" s="92">
        <f t="shared" si="31"/>
        <v>323</v>
      </c>
      <c r="AG36" s="92">
        <f t="shared" si="32"/>
        <v>-142.63413266188383</v>
      </c>
      <c r="AH36" s="92">
        <f t="shared" si="24"/>
        <v>180.36586733811617</v>
      </c>
      <c r="AJ36" s="130">
        <v>6.13</v>
      </c>
      <c r="AK36" s="86">
        <v>6.01</v>
      </c>
      <c r="AL36" s="86">
        <v>13.65</v>
      </c>
    </row>
    <row r="37" spans="1:38" x14ac:dyDescent="0.3">
      <c r="A37" s="133">
        <f t="shared" si="14"/>
        <v>35</v>
      </c>
      <c r="B37" s="90">
        <v>44855</v>
      </c>
      <c r="C37" s="90">
        <f t="shared" si="15"/>
        <v>45519</v>
      </c>
      <c r="D37" s="91">
        <f>NETWORKDAYS(B37,C37-1,Feriados!$A$2:$A$2000)</f>
        <v>455</v>
      </c>
      <c r="E37" s="130">
        <v>5.97</v>
      </c>
      <c r="F37" s="92">
        <f t="shared" si="3"/>
        <v>-4.0000000000000036E-2</v>
      </c>
      <c r="G37" s="132">
        <f>TRUNC((100/(1+E37/100)^(D37/252)/100)*VLOOKUP(B37,'VNA e PRT'!B:C,2,FALSE),2)</f>
        <v>3555.57</v>
      </c>
      <c r="H37" s="92">
        <f t="shared" si="16"/>
        <v>355557</v>
      </c>
      <c r="I37" s="92">
        <f t="shared" si="28"/>
        <v>0.1078344698654865</v>
      </c>
      <c r="J37" s="93">
        <f t="shared" si="17"/>
        <v>1.0163940518320751</v>
      </c>
      <c r="K37" s="90">
        <f t="shared" si="5"/>
        <v>45519</v>
      </c>
      <c r="L37" s="130">
        <v>5.97</v>
      </c>
      <c r="M37" s="92">
        <f t="shared" si="6"/>
        <v>-4.0000000000000036E-2</v>
      </c>
      <c r="N37" s="92">
        <f t="shared" si="25"/>
        <v>90059.77</v>
      </c>
      <c r="O37" s="86">
        <v>13.65</v>
      </c>
      <c r="P37" s="92">
        <f t="shared" si="18"/>
        <v>90008.45</v>
      </c>
      <c r="Q37" s="94">
        <f t="shared" si="19"/>
        <v>81.771805243021703</v>
      </c>
      <c r="R37" s="92">
        <f>VLOOKUP(B37,'VNA e PRT'!B:G,6,FALSE)</f>
        <v>6374.5344106667753</v>
      </c>
      <c r="S37" s="239">
        <f>VLOOKUP(B37,'VNA e PRT'!B:G,3,FALSE)</f>
        <v>0.33</v>
      </c>
      <c r="T37" s="92">
        <f t="shared" si="7"/>
        <v>143522.27572043383</v>
      </c>
      <c r="U37" s="141">
        <f t="shared" si="8"/>
        <v>2.477364563899386</v>
      </c>
      <c r="V37" s="134">
        <f t="shared" si="20"/>
        <v>355555.81307698163</v>
      </c>
      <c r="W37" s="134">
        <f t="shared" si="21"/>
        <v>0.10782465290644083</v>
      </c>
      <c r="X37" s="135">
        <f t="shared" si="22"/>
        <v>1.016390658897901</v>
      </c>
      <c r="Y37" s="99">
        <f t="shared" si="26"/>
        <v>0</v>
      </c>
      <c r="Z37" s="97">
        <f t="shared" si="9"/>
        <v>0</v>
      </c>
      <c r="AA37" s="92">
        <f t="shared" si="27"/>
        <v>355557</v>
      </c>
      <c r="AB37" s="92">
        <f t="shared" si="29"/>
        <v>355354.42142736487</v>
      </c>
      <c r="AC37" s="211">
        <f t="shared" si="30"/>
        <v>5.0798039092070368E-2</v>
      </c>
      <c r="AD37" s="93">
        <f t="shared" si="23"/>
        <v>1.0179335628600039</v>
      </c>
      <c r="AF37" s="92">
        <f t="shared" si="31"/>
        <v>383</v>
      </c>
      <c r="AG37" s="92">
        <f t="shared" si="32"/>
        <v>-202.57857263514398</v>
      </c>
      <c r="AH37" s="92">
        <f t="shared" si="24"/>
        <v>180.42142736485602</v>
      </c>
      <c r="AJ37" s="130">
        <v>6.11</v>
      </c>
      <c r="AK37" s="86">
        <v>5.97</v>
      </c>
      <c r="AL37" s="86">
        <v>13.65</v>
      </c>
    </row>
    <row r="38" spans="1:38" x14ac:dyDescent="0.3">
      <c r="A38" s="133">
        <f t="shared" si="14"/>
        <v>36</v>
      </c>
      <c r="B38" s="90">
        <v>44858</v>
      </c>
      <c r="C38" s="90">
        <f t="shared" si="15"/>
        <v>45519</v>
      </c>
      <c r="D38" s="91">
        <f>NETWORKDAYS(B38,C38-1,Feriados!$A$2:$A$2000)</f>
        <v>454</v>
      </c>
      <c r="E38" s="130">
        <v>5.95</v>
      </c>
      <c r="F38" s="92">
        <f t="shared" si="3"/>
        <v>-1.9999999999999574E-2</v>
      </c>
      <c r="G38" s="132">
        <f>TRUNC((100/(1+E38/100)^(D38/252)/100)*VLOOKUP(B38,'VNA e PRT'!B:C,2,FALSE),2)</f>
        <v>3558.18</v>
      </c>
      <c r="H38" s="92">
        <f t="shared" si="16"/>
        <v>355818</v>
      </c>
      <c r="I38" s="92">
        <f t="shared" si="28"/>
        <v>7.3405951788307888E-2</v>
      </c>
      <c r="J38" s="93">
        <f t="shared" si="17"/>
        <v>1.0171401455597422</v>
      </c>
      <c r="K38" s="90">
        <f t="shared" si="5"/>
        <v>45519</v>
      </c>
      <c r="L38" s="130">
        <v>5.95</v>
      </c>
      <c r="M38" s="92">
        <f t="shared" si="6"/>
        <v>-1.9999999999999574E-2</v>
      </c>
      <c r="N38" s="92">
        <f t="shared" si="25"/>
        <v>90111.13</v>
      </c>
      <c r="O38" s="86">
        <v>13.65</v>
      </c>
      <c r="P38" s="92">
        <f t="shared" si="18"/>
        <v>90090.67</v>
      </c>
      <c r="Q38" s="94">
        <f t="shared" si="19"/>
        <v>32.605743510570761</v>
      </c>
      <c r="R38" s="92">
        <f>VLOOKUP(B38,'VNA e PRT'!B:G,6,FALSE)</f>
        <v>6375.5845636214963</v>
      </c>
      <c r="S38" s="239">
        <f>VLOOKUP(B38,'VNA e PRT'!B:G,3,FALSE)</f>
        <v>0.33</v>
      </c>
      <c r="T38" s="92">
        <f t="shared" si="7"/>
        <v>143627.78235962248</v>
      </c>
      <c r="U38" s="141">
        <f t="shared" si="8"/>
        <v>2.4773619292476785</v>
      </c>
      <c r="V38" s="134">
        <f t="shared" si="20"/>
        <v>355817.16912369052</v>
      </c>
      <c r="W38" s="134">
        <f t="shared" si="21"/>
        <v>7.3506334897777137E-2</v>
      </c>
      <c r="X38" s="135">
        <f t="shared" si="22"/>
        <v>1.0171377704195002</v>
      </c>
      <c r="Y38" s="99">
        <f t="shared" si="26"/>
        <v>0</v>
      </c>
      <c r="Z38" s="97">
        <f t="shared" si="9"/>
        <v>0</v>
      </c>
      <c r="AA38" s="92">
        <f t="shared" si="27"/>
        <v>355818</v>
      </c>
      <c r="AB38" s="92">
        <f t="shared" si="29"/>
        <v>355737.2237723521</v>
      </c>
      <c r="AC38" s="211">
        <f t="shared" si="30"/>
        <v>5.0687730055121172E-2</v>
      </c>
      <c r="AD38" s="93">
        <f t="shared" si="23"/>
        <v>1.0184495302764869</v>
      </c>
      <c r="AF38" s="92">
        <f t="shared" si="31"/>
        <v>261</v>
      </c>
      <c r="AG38" s="92">
        <f t="shared" si="32"/>
        <v>-80.776227647902559</v>
      </c>
      <c r="AH38" s="92">
        <f t="shared" si="24"/>
        <v>180.22377235209746</v>
      </c>
      <c r="AJ38" s="130">
        <v>6.08</v>
      </c>
      <c r="AK38" s="86">
        <v>5.95</v>
      </c>
      <c r="AL38" s="86">
        <v>13.65</v>
      </c>
    </row>
    <row r="39" spans="1:38" x14ac:dyDescent="0.3">
      <c r="A39" s="133">
        <f t="shared" si="14"/>
        <v>37</v>
      </c>
      <c r="B39" s="90">
        <v>44859</v>
      </c>
      <c r="C39" s="90">
        <f t="shared" si="15"/>
        <v>45519</v>
      </c>
      <c r="D39" s="91">
        <f>NETWORKDAYS(B39,C39-1,Feriados!$A$2:$A$2000)</f>
        <v>453</v>
      </c>
      <c r="E39" s="130">
        <v>6</v>
      </c>
      <c r="F39" s="92">
        <f t="shared" si="3"/>
        <v>4.9999999999999822E-2</v>
      </c>
      <c r="G39" s="132">
        <f>TRUNC((100/(1+E39/100)^(D39/252)/100)*VLOOKUP(B39,'VNA e PRT'!B:C,2,FALSE),2)</f>
        <v>3556.56</v>
      </c>
      <c r="H39" s="92">
        <f t="shared" si="16"/>
        <v>355656</v>
      </c>
      <c r="I39" s="92">
        <f t="shared" si="28"/>
        <v>-4.5528893985125052E-2</v>
      </c>
      <c r="J39" s="93">
        <f t="shared" si="17"/>
        <v>1.0166770529011901</v>
      </c>
      <c r="K39" s="90">
        <f t="shared" si="5"/>
        <v>45519</v>
      </c>
      <c r="L39" s="130">
        <v>6</v>
      </c>
      <c r="M39" s="92">
        <f t="shared" si="6"/>
        <v>4.9999999999999822E-2</v>
      </c>
      <c r="N39" s="92">
        <f t="shared" si="25"/>
        <v>90055.39</v>
      </c>
      <c r="O39" s="86">
        <v>13.65</v>
      </c>
      <c r="P39" s="92">
        <f t="shared" si="18"/>
        <v>90142.05</v>
      </c>
      <c r="Q39" s="94">
        <f t="shared" si="19"/>
        <v>-138.12703957086529</v>
      </c>
      <c r="R39" s="92">
        <f>VLOOKUP(B39,'VNA e PRT'!B:G,6,FALSE)</f>
        <v>6376.6348893404356</v>
      </c>
      <c r="S39" s="239">
        <f>VLOOKUP(B39,'VNA e PRT'!B:G,3,FALSE)</f>
        <v>0.33</v>
      </c>
      <c r="T39" s="92">
        <f t="shared" si="7"/>
        <v>143562.58546178995</v>
      </c>
      <c r="U39" s="141">
        <f t="shared" si="8"/>
        <v>2.4773585600731605</v>
      </c>
      <c r="V39" s="134">
        <f t="shared" si="20"/>
        <v>355655.6914764996</v>
      </c>
      <c r="W39" s="134">
        <f t="shared" si="21"/>
        <v>-4.5382196589505153E-2</v>
      </c>
      <c r="X39" s="135">
        <f t="shared" si="22"/>
        <v>1.0166761709569423</v>
      </c>
      <c r="Y39" s="99">
        <f t="shared" si="26"/>
        <v>0</v>
      </c>
      <c r="Z39" s="97">
        <f t="shared" si="9"/>
        <v>0</v>
      </c>
      <c r="AA39" s="92">
        <f t="shared" si="27"/>
        <v>355656</v>
      </c>
      <c r="AB39" s="92">
        <f t="shared" si="29"/>
        <v>355998.19020385842</v>
      </c>
      <c r="AC39" s="211">
        <f t="shared" si="30"/>
        <v>5.0641115361904632E-2</v>
      </c>
      <c r="AD39" s="93">
        <f t="shared" si="23"/>
        <v>1.018965284478017</v>
      </c>
      <c r="AF39" s="92">
        <f t="shared" si="31"/>
        <v>-162</v>
      </c>
      <c r="AG39" s="92">
        <f t="shared" si="32"/>
        <v>342.19020385844732</v>
      </c>
      <c r="AH39" s="92">
        <f t="shared" si="24"/>
        <v>180.19020385844732</v>
      </c>
      <c r="AJ39" s="130">
        <v>6.02</v>
      </c>
      <c r="AK39" s="86">
        <v>6</v>
      </c>
      <c r="AL39" s="86">
        <v>13.65</v>
      </c>
    </row>
    <row r="40" spans="1:38" x14ac:dyDescent="0.3">
      <c r="A40" s="133">
        <f t="shared" si="14"/>
        <v>38</v>
      </c>
      <c r="B40" s="90">
        <v>44860</v>
      </c>
      <c r="C40" s="90">
        <f t="shared" si="15"/>
        <v>45519</v>
      </c>
      <c r="D40" s="91">
        <f>NETWORKDAYS(B40,C40-1,Feriados!$A$2:$A$2000)</f>
        <v>452</v>
      </c>
      <c r="E40" s="130">
        <v>6.01</v>
      </c>
      <c r="F40" s="92">
        <f t="shared" si="3"/>
        <v>9.9999999999997868E-3</v>
      </c>
      <c r="G40" s="132">
        <f>TRUNC((100/(1+E40/100)^(D40/252)/100)*VLOOKUP(B40,'VNA e PRT'!B:C,2,FALSE),2)</f>
        <v>3558.74</v>
      </c>
      <c r="H40" s="92">
        <f t="shared" si="16"/>
        <v>355874</v>
      </c>
      <c r="I40" s="92">
        <f t="shared" si="28"/>
        <v>6.1295184110488066E-2</v>
      </c>
      <c r="J40" s="93">
        <f t="shared" si="17"/>
        <v>1.0173002269725751</v>
      </c>
      <c r="K40" s="90">
        <f t="shared" si="5"/>
        <v>45519</v>
      </c>
      <c r="L40" s="130">
        <v>6.01</v>
      </c>
      <c r="M40" s="92">
        <f t="shared" si="6"/>
        <v>9.9999999999997868E-3</v>
      </c>
      <c r="N40" s="92">
        <f t="shared" si="25"/>
        <v>90060.97</v>
      </c>
      <c r="O40" s="86">
        <v>13.65</v>
      </c>
      <c r="P40" s="92">
        <f t="shared" si="18"/>
        <v>90051.74</v>
      </c>
      <c r="Q40" s="94">
        <f t="shared" si="19"/>
        <v>14.71408500714656</v>
      </c>
      <c r="R40" s="92">
        <f>VLOOKUP(B40,'VNA e PRT'!B:G,6,FALSE)</f>
        <v>6380.131848642618</v>
      </c>
      <c r="S40" s="239">
        <f>VLOOKUP(B40,'VNA e PRT'!B:G,3,FALSE)</f>
        <v>0.44</v>
      </c>
      <c r="T40" s="92">
        <f t="shared" si="7"/>
        <v>143650.21575416185</v>
      </c>
      <c r="U40" s="141">
        <f t="shared" si="8"/>
        <v>2.4773648833847268</v>
      </c>
      <c r="V40" s="134">
        <f t="shared" si="20"/>
        <v>355872.77417932724</v>
      </c>
      <c r="W40" s="134">
        <f t="shared" si="21"/>
        <v>6.1037320090795433E-2</v>
      </c>
      <c r="X40" s="135">
        <f t="shared" si="22"/>
        <v>1.0172967228456962</v>
      </c>
      <c r="Y40" s="99">
        <f t="shared" si="26"/>
        <v>0</v>
      </c>
      <c r="Z40" s="97">
        <f t="shared" si="9"/>
        <v>0</v>
      </c>
      <c r="AA40" s="92">
        <f t="shared" si="27"/>
        <v>355874</v>
      </c>
      <c r="AB40" s="92">
        <f t="shared" si="29"/>
        <v>355837.54784251214</v>
      </c>
      <c r="AC40" s="211">
        <f t="shared" si="30"/>
        <v>5.1045910236902081E-2</v>
      </c>
      <c r="AD40" s="93">
        <f t="shared" si="23"/>
        <v>1.0194854245824769</v>
      </c>
      <c r="AF40" s="92">
        <f t="shared" si="31"/>
        <v>218</v>
      </c>
      <c r="AG40" s="92">
        <f t="shared" si="32"/>
        <v>-36.452157487842591</v>
      </c>
      <c r="AH40" s="92">
        <f t="shared" si="24"/>
        <v>181.54784251215742</v>
      </c>
      <c r="AJ40" s="130">
        <v>6.07</v>
      </c>
      <c r="AK40" s="86">
        <v>6.01</v>
      </c>
      <c r="AL40" s="86">
        <v>13.65</v>
      </c>
    </row>
    <row r="41" spans="1:38" x14ac:dyDescent="0.3">
      <c r="A41" s="133">
        <f t="shared" si="14"/>
        <v>39</v>
      </c>
      <c r="B41" s="90">
        <v>44861</v>
      </c>
      <c r="C41" s="90">
        <f t="shared" si="15"/>
        <v>45519</v>
      </c>
      <c r="D41" s="91">
        <f>NETWORKDAYS(B41,C41-1,Feriados!$A$2:$A$2000)</f>
        <v>451</v>
      </c>
      <c r="E41" s="130">
        <v>5.84</v>
      </c>
      <c r="F41" s="92">
        <f t="shared" si="3"/>
        <v>-0.16999999999999993</v>
      </c>
      <c r="G41" s="132">
        <f>TRUNC((100/(1+E41/100)^(D41/252)/100)*VLOOKUP(B41,'VNA e PRT'!B:C,2,FALSE),2)</f>
        <v>3570.58</v>
      </c>
      <c r="H41" s="92">
        <f t="shared" si="16"/>
        <v>357058</v>
      </c>
      <c r="I41" s="92">
        <f t="shared" si="28"/>
        <v>0.3327020237499756</v>
      </c>
      <c r="J41" s="93">
        <f t="shared" si="17"/>
        <v>1.0206848054153259</v>
      </c>
      <c r="K41" s="90">
        <f t="shared" si="5"/>
        <v>45519</v>
      </c>
      <c r="L41" s="130">
        <v>5.84</v>
      </c>
      <c r="M41" s="92">
        <f t="shared" si="6"/>
        <v>-0.16999999999999993</v>
      </c>
      <c r="N41" s="92">
        <f t="shared" si="25"/>
        <v>90340.94</v>
      </c>
      <c r="O41" s="86">
        <v>13.65</v>
      </c>
      <c r="P41" s="92">
        <f t="shared" si="18"/>
        <v>90086.93</v>
      </c>
      <c r="Q41" s="94">
        <f t="shared" si="19"/>
        <v>405.15432271844276</v>
      </c>
      <c r="R41" s="92">
        <f>VLOOKUP(B41,'VNA e PRT'!B:G,6,FALSE)</f>
        <v>6381.5325531140952</v>
      </c>
      <c r="S41" s="239">
        <f>VLOOKUP(B41,'VNA e PRT'!B:G,3,FALSE)</f>
        <v>0.44</v>
      </c>
      <c r="T41" s="92">
        <f t="shared" si="7"/>
        <v>144128.41237223183</v>
      </c>
      <c r="U41" s="141">
        <f t="shared" si="8"/>
        <v>2.4773602520358557</v>
      </c>
      <c r="V41" s="134">
        <f t="shared" si="20"/>
        <v>357057.22819175437</v>
      </c>
      <c r="W41" s="134">
        <f t="shared" si="21"/>
        <v>0.33283074693155612</v>
      </c>
      <c r="X41" s="135">
        <f t="shared" si="22"/>
        <v>1.0206825991268538</v>
      </c>
      <c r="Y41" s="99">
        <f t="shared" si="26"/>
        <v>0</v>
      </c>
      <c r="Z41" s="97">
        <f t="shared" si="9"/>
        <v>0</v>
      </c>
      <c r="AA41" s="92">
        <f t="shared" si="27"/>
        <v>357058</v>
      </c>
      <c r="AB41" s="92">
        <f t="shared" si="29"/>
        <v>356054.28678495681</v>
      </c>
      <c r="AC41" s="211">
        <f t="shared" si="30"/>
        <v>5.0660285650772074E-2</v>
      </c>
      <c r="AD41" s="93">
        <f t="shared" si="23"/>
        <v>1.0200018988107384</v>
      </c>
      <c r="AF41" s="92">
        <f t="shared" si="31"/>
        <v>1184</v>
      </c>
      <c r="AG41" s="92">
        <f t="shared" si="32"/>
        <v>-1003.7132150431778</v>
      </c>
      <c r="AH41" s="92">
        <f t="shared" si="24"/>
        <v>180.2867849568222</v>
      </c>
      <c r="AJ41" s="130">
        <v>6.06</v>
      </c>
      <c r="AK41" s="86">
        <v>5.84</v>
      </c>
      <c r="AL41" s="86">
        <v>13.65</v>
      </c>
    </row>
    <row r="42" spans="1:38" x14ac:dyDescent="0.3">
      <c r="A42" s="133">
        <f t="shared" si="14"/>
        <v>40</v>
      </c>
      <c r="B42" s="90">
        <v>44862</v>
      </c>
      <c r="C42" s="90">
        <f t="shared" si="15"/>
        <v>45519</v>
      </c>
      <c r="D42" s="91">
        <f>NETWORKDAYS(B42,C42-1,Feriados!$A$2:$A$2000)</f>
        <v>450</v>
      </c>
      <c r="E42" s="130">
        <v>5.86</v>
      </c>
      <c r="F42" s="92">
        <f t="shared" si="3"/>
        <v>2.0000000000000462E-2</v>
      </c>
      <c r="G42" s="132">
        <f>TRUNC((100/(1+E42/100)^(D42/252)/100)*VLOOKUP(B42,'VNA e PRT'!B:C,2,FALSE),2)</f>
        <v>3570.97</v>
      </c>
      <c r="H42" s="92">
        <f t="shared" si="16"/>
        <v>357097</v>
      </c>
      <c r="I42" s="92">
        <f t="shared" si="28"/>
        <v>1.0922595208628927E-2</v>
      </c>
      <c r="J42" s="93">
        <f t="shared" si="17"/>
        <v>1.0207962906849775</v>
      </c>
      <c r="K42" s="90">
        <f t="shared" si="5"/>
        <v>45519</v>
      </c>
      <c r="L42" s="130">
        <v>5.86</v>
      </c>
      <c r="M42" s="92">
        <f t="shared" si="6"/>
        <v>2.0000000000000462E-2</v>
      </c>
      <c r="N42" s="92">
        <f t="shared" si="25"/>
        <v>90330.81</v>
      </c>
      <c r="O42" s="86">
        <v>13.65</v>
      </c>
      <c r="P42" s="92">
        <f t="shared" si="18"/>
        <v>90366.98</v>
      </c>
      <c r="Q42" s="94">
        <f t="shared" si="19"/>
        <v>-57.70500811153142</v>
      </c>
      <c r="R42" s="92">
        <f>VLOOKUP(B42,'VNA e PRT'!B:G,6,FALSE)</f>
        <v>6382.9335643631575</v>
      </c>
      <c r="S42" s="239">
        <f>VLOOKUP(B42,'VNA e PRT'!B:G,3,FALSE)</f>
        <v>0.44</v>
      </c>
      <c r="T42" s="92">
        <f t="shared" si="7"/>
        <v>144143.88976127779</v>
      </c>
      <c r="U42" s="141">
        <f t="shared" si="8"/>
        <v>2.4773648095066809</v>
      </c>
      <c r="V42" s="134">
        <f t="shared" si="20"/>
        <v>357095.61419365642</v>
      </c>
      <c r="W42" s="134">
        <f t="shared" si="21"/>
        <v>1.075065812179421E-2</v>
      </c>
      <c r="X42" s="135">
        <f t="shared" si="22"/>
        <v>1.0207923292235945</v>
      </c>
      <c r="Y42" s="99">
        <f t="shared" si="26"/>
        <v>0</v>
      </c>
      <c r="Z42" s="97">
        <f t="shared" si="9"/>
        <v>0</v>
      </c>
      <c r="AA42" s="92">
        <f t="shared" si="27"/>
        <v>357097</v>
      </c>
      <c r="AB42" s="92">
        <f t="shared" si="29"/>
        <v>357239.95635642781</v>
      </c>
      <c r="AC42" s="211">
        <f t="shared" si="30"/>
        <v>5.0959887869139742E-2</v>
      </c>
      <c r="AD42" s="93">
        <f t="shared" si="23"/>
        <v>1.0205216906346355</v>
      </c>
      <c r="AF42" s="92">
        <f t="shared" si="31"/>
        <v>39</v>
      </c>
      <c r="AG42" s="92">
        <f t="shared" si="32"/>
        <v>142.9563564278055</v>
      </c>
      <c r="AH42" s="92">
        <f t="shared" si="24"/>
        <v>181.9563564278055</v>
      </c>
      <c r="AJ42" s="130">
        <v>5.95</v>
      </c>
      <c r="AK42" s="86">
        <v>5.86</v>
      </c>
      <c r="AL42" s="86">
        <v>13.65</v>
      </c>
    </row>
    <row r="43" spans="1:38" x14ac:dyDescent="0.3">
      <c r="A43" s="133">
        <f t="shared" si="14"/>
        <v>41</v>
      </c>
      <c r="B43" s="90">
        <v>44865</v>
      </c>
      <c r="C43" s="90">
        <f t="shared" si="15"/>
        <v>45519</v>
      </c>
      <c r="D43" s="91">
        <f>NETWORKDAYS(B43,C43-1,Feriados!$A$2:$A$2000)</f>
        <v>449</v>
      </c>
      <c r="E43" s="130">
        <v>5.66</v>
      </c>
      <c r="F43" s="92">
        <f t="shared" si="3"/>
        <v>-0.20000000000000018</v>
      </c>
      <c r="G43" s="132">
        <f>TRUNC((100/(1+E43/100)^(D43/252)/100)*VLOOKUP(B43,'VNA e PRT'!B:C,2,FALSE),2)</f>
        <v>3584.61</v>
      </c>
      <c r="H43" s="92">
        <f t="shared" si="16"/>
        <v>358461</v>
      </c>
      <c r="I43" s="92">
        <f t="shared" si="28"/>
        <v>0.38196904482536986</v>
      </c>
      <c r="J43" s="93">
        <f t="shared" si="17"/>
        <v>1.0246954165261197</v>
      </c>
      <c r="K43" s="90">
        <f t="shared" si="5"/>
        <v>45519</v>
      </c>
      <c r="L43" s="130">
        <v>5.66</v>
      </c>
      <c r="M43" s="92">
        <f t="shared" si="6"/>
        <v>-0.20000000000000018</v>
      </c>
      <c r="N43" s="92">
        <f t="shared" si="25"/>
        <v>90656.17</v>
      </c>
      <c r="O43" s="86">
        <v>13.65</v>
      </c>
      <c r="P43" s="92">
        <f t="shared" si="18"/>
        <v>90356.85</v>
      </c>
      <c r="Q43" s="94">
        <f t="shared" si="19"/>
        <v>477.63491862128296</v>
      </c>
      <c r="R43" s="92">
        <f>VLOOKUP(B43,'VNA e PRT'!B:G,6,FALSE)</f>
        <v>6384.3348823898041</v>
      </c>
      <c r="S43" s="239">
        <f>VLOOKUP(B43,'VNA e PRT'!B:G,3,FALSE)</f>
        <v>0.44</v>
      </c>
      <c r="T43" s="92">
        <f t="shared" si="7"/>
        <v>144694.83710871503</v>
      </c>
      <c r="U43" s="141">
        <f t="shared" si="8"/>
        <v>2.4773586063107</v>
      </c>
      <c r="V43" s="134">
        <f t="shared" si="20"/>
        <v>358460.24902380421</v>
      </c>
      <c r="W43" s="134">
        <f t="shared" si="21"/>
        <v>0.38214830311742443</v>
      </c>
      <c r="X43" s="135">
        <f t="shared" si="22"/>
        <v>1.0246932697880753</v>
      </c>
      <c r="Y43" s="99">
        <f t="shared" si="26"/>
        <v>0</v>
      </c>
      <c r="Z43" s="97">
        <f t="shared" si="9"/>
        <v>0</v>
      </c>
      <c r="AA43" s="92">
        <f t="shared" si="27"/>
        <v>358461</v>
      </c>
      <c r="AB43" s="92">
        <f t="shared" si="29"/>
        <v>357277.72702367906</v>
      </c>
      <c r="AC43" s="211">
        <f t="shared" si="30"/>
        <v>5.0610064962475221E-2</v>
      </c>
      <c r="AD43" s="93">
        <f t="shared" si="23"/>
        <v>1.0210381773252217</v>
      </c>
      <c r="AF43" s="92">
        <f t="shared" si="31"/>
        <v>1364</v>
      </c>
      <c r="AG43" s="92">
        <f t="shared" si="32"/>
        <v>-1183.2729763209461</v>
      </c>
      <c r="AH43" s="92">
        <f t="shared" si="24"/>
        <v>180.7270236790539</v>
      </c>
      <c r="AJ43" s="130">
        <v>5.97</v>
      </c>
      <c r="AK43" s="86">
        <v>5.66</v>
      </c>
      <c r="AL43" s="86">
        <v>13.65</v>
      </c>
    </row>
    <row r="44" spans="1:38" x14ac:dyDescent="0.3">
      <c r="A44" s="133">
        <f t="shared" si="14"/>
        <v>42</v>
      </c>
      <c r="B44" s="90">
        <v>44866</v>
      </c>
      <c r="C44" s="90">
        <f t="shared" si="15"/>
        <v>45519</v>
      </c>
      <c r="D44" s="91">
        <f>NETWORKDAYS(B44,C44-1,Feriados!$A$2:$A$2000)</f>
        <v>448</v>
      </c>
      <c r="E44" s="130">
        <v>5.75</v>
      </c>
      <c r="F44" s="92">
        <f t="shared" si="3"/>
        <v>8.9999999999999858E-2</v>
      </c>
      <c r="G44" s="132">
        <f>TRUNC((100/(1+E44/100)^(D44/252)/100)*VLOOKUP(B44,'VNA e PRT'!B:C,2,FALSE),2)</f>
        <v>3580.76</v>
      </c>
      <c r="H44" s="92">
        <f t="shared" si="16"/>
        <v>358076</v>
      </c>
      <c r="I44" s="92">
        <f t="shared" si="28"/>
        <v>-0.10740359481226092</v>
      </c>
      <c r="J44" s="93">
        <f t="shared" si="17"/>
        <v>1.0235948568128943</v>
      </c>
      <c r="K44" s="90">
        <f t="shared" si="5"/>
        <v>45519</v>
      </c>
      <c r="L44" s="130">
        <v>5.75</v>
      </c>
      <c r="M44" s="92">
        <f t="shared" si="6"/>
        <v>8.9999999999999858E-2</v>
      </c>
      <c r="N44" s="92">
        <f t="shared" si="25"/>
        <v>90538.83</v>
      </c>
      <c r="O44" s="86">
        <v>13.65</v>
      </c>
      <c r="P44" s="92">
        <f t="shared" si="18"/>
        <v>90682.3</v>
      </c>
      <c r="Q44" s="94">
        <f t="shared" si="19"/>
        <v>-228.99013139411818</v>
      </c>
      <c r="R44" s="92">
        <f>VLOOKUP(B44,'VNA e PRT'!B:G,6,FALSE)</f>
        <v>6385.7365088086535</v>
      </c>
      <c r="S44" s="239">
        <f>VLOOKUP(B44,'VNA e PRT'!B:G,3,FALSE)</f>
        <v>0.44</v>
      </c>
      <c r="T44" s="92">
        <f t="shared" si="7"/>
        <v>144539.27804895505</v>
      </c>
      <c r="U44" s="141">
        <f t="shared" si="8"/>
        <v>2.4773612047427043</v>
      </c>
      <c r="V44" s="134">
        <f t="shared" si="20"/>
        <v>358075.01268109324</v>
      </c>
      <c r="W44" s="134">
        <f t="shared" si="21"/>
        <v>-0.10746975257649449</v>
      </c>
      <c r="X44" s="135">
        <f t="shared" si="22"/>
        <v>1.023592034466366</v>
      </c>
      <c r="Y44" s="99">
        <f t="shared" si="26"/>
        <v>0</v>
      </c>
      <c r="Z44" s="97">
        <f t="shared" si="9"/>
        <v>0</v>
      </c>
      <c r="AA44" s="92">
        <f t="shared" si="27"/>
        <v>358076</v>
      </c>
      <c r="AB44" s="92">
        <f t="shared" si="29"/>
        <v>358643.29126778472</v>
      </c>
      <c r="AC44" s="211">
        <f t="shared" si="30"/>
        <v>5.0853863540156752E-2</v>
      </c>
      <c r="AD44" s="93">
        <f t="shared" si="23"/>
        <v>1.0215574146866115</v>
      </c>
      <c r="AF44" s="92">
        <f t="shared" si="31"/>
        <v>-385</v>
      </c>
      <c r="AG44" s="92">
        <f t="shared" si="32"/>
        <v>567.29126778472278</v>
      </c>
      <c r="AH44" s="92">
        <f t="shared" si="24"/>
        <v>182.29126778472278</v>
      </c>
      <c r="AJ44" s="130">
        <v>5.77</v>
      </c>
      <c r="AK44" s="86">
        <v>5.75</v>
      </c>
      <c r="AL44" s="86">
        <v>13.65</v>
      </c>
    </row>
    <row r="45" spans="1:38" x14ac:dyDescent="0.3">
      <c r="A45" s="133">
        <f t="shared" si="14"/>
        <v>43</v>
      </c>
      <c r="B45" s="90">
        <v>44868</v>
      </c>
      <c r="C45" s="90">
        <f t="shared" si="15"/>
        <v>45519</v>
      </c>
      <c r="D45" s="91">
        <f>NETWORKDAYS(B45,C45-1,Feriados!$A$2:$A$2000)</f>
        <v>447</v>
      </c>
      <c r="E45" s="130">
        <v>5.76</v>
      </c>
      <c r="F45" s="92">
        <f t="shared" si="3"/>
        <v>9.9999999999997868E-3</v>
      </c>
      <c r="G45" s="132">
        <f>TRUNC((100/(1+E45/100)^(D45/252)/100)*VLOOKUP(B45,'VNA e PRT'!B:C,2,FALSE),2)</f>
        <v>3581.74</v>
      </c>
      <c r="H45" s="92">
        <f t="shared" si="16"/>
        <v>358174</v>
      </c>
      <c r="I45" s="92">
        <f t="shared" si="28"/>
        <v>2.7368491605117562E-2</v>
      </c>
      <c r="J45" s="93">
        <f t="shared" si="17"/>
        <v>1.0238749992853515</v>
      </c>
      <c r="K45" s="90">
        <f t="shared" si="5"/>
        <v>45519</v>
      </c>
      <c r="L45" s="130">
        <v>5.76</v>
      </c>
      <c r="M45" s="92">
        <f t="shared" si="6"/>
        <v>9.9999999999997868E-3</v>
      </c>
      <c r="N45" s="92">
        <f t="shared" si="25"/>
        <v>90543.73</v>
      </c>
      <c r="O45" s="86">
        <v>13.65</v>
      </c>
      <c r="P45" s="92">
        <f t="shared" si="18"/>
        <v>90564.93</v>
      </c>
      <c r="Q45" s="94">
        <f t="shared" si="19"/>
        <v>-33.844403496681217</v>
      </c>
      <c r="R45" s="92">
        <f>VLOOKUP(B45,'VNA e PRT'!B:G,6,FALSE)</f>
        <v>6387.1384436197068</v>
      </c>
      <c r="S45" s="239">
        <f>VLOOKUP(B45,'VNA e PRT'!B:G,3,FALSE)</f>
        <v>0.44</v>
      </c>
      <c r="T45" s="92">
        <f t="shared" si="7"/>
        <v>144578.83467793075</v>
      </c>
      <c r="U45" s="141">
        <f t="shared" si="8"/>
        <v>2.4773612320080036</v>
      </c>
      <c r="V45" s="134">
        <f t="shared" si="20"/>
        <v>358173.02713904635</v>
      </c>
      <c r="W45" s="134">
        <f t="shared" si="21"/>
        <v>2.7372604756537022E-2</v>
      </c>
      <c r="X45" s="135">
        <f t="shared" si="22"/>
        <v>1.02387221826828</v>
      </c>
      <c r="Y45" s="99">
        <f t="shared" si="26"/>
        <v>0</v>
      </c>
      <c r="Z45" s="97">
        <f t="shared" si="9"/>
        <v>0</v>
      </c>
      <c r="AA45" s="92">
        <f t="shared" si="27"/>
        <v>358174</v>
      </c>
      <c r="AB45" s="92">
        <f t="shared" si="29"/>
        <v>358257.84481314314</v>
      </c>
      <c r="AC45" s="211">
        <f t="shared" si="30"/>
        <v>5.0783859611680526E-2</v>
      </c>
      <c r="AD45" s="93">
        <f t="shared" si="23"/>
        <v>1.0220762009699387</v>
      </c>
      <c r="AF45" s="92">
        <f t="shared" si="31"/>
        <v>98</v>
      </c>
      <c r="AG45" s="92">
        <f t="shared" si="32"/>
        <v>83.844813143114166</v>
      </c>
      <c r="AH45" s="92">
        <f t="shared" si="24"/>
        <v>181.84481314311415</v>
      </c>
      <c r="AJ45" s="130">
        <v>5.82</v>
      </c>
      <c r="AK45" s="86">
        <v>5.76</v>
      </c>
      <c r="AL45" s="86">
        <v>13.65</v>
      </c>
    </row>
    <row r="46" spans="1:38" x14ac:dyDescent="0.3">
      <c r="A46" s="133">
        <f t="shared" si="14"/>
        <v>44</v>
      </c>
      <c r="B46" s="90">
        <v>44869</v>
      </c>
      <c r="C46" s="90">
        <f t="shared" si="15"/>
        <v>45519</v>
      </c>
      <c r="D46" s="91">
        <f>NETWORKDAYS(B46,C46-1,Feriados!$A$2:$A$2000)</f>
        <v>446</v>
      </c>
      <c r="E46" s="130">
        <v>5.71</v>
      </c>
      <c r="F46" s="92">
        <f t="shared" si="3"/>
        <v>-4.9999999999999822E-2</v>
      </c>
      <c r="G46" s="132">
        <f>TRUNC((100/(1+E46/100)^(D46/252)/100)*VLOOKUP(B46,'VNA e PRT'!B:C,2,FALSE),2)</f>
        <v>3586.32</v>
      </c>
      <c r="H46" s="92">
        <f t="shared" si="16"/>
        <v>358632</v>
      </c>
      <c r="I46" s="92">
        <f t="shared" si="28"/>
        <v>0.12787081139336021</v>
      </c>
      <c r="J46" s="93">
        <f t="shared" si="17"/>
        <v>1.0251842365545916</v>
      </c>
      <c r="K46" s="90">
        <f t="shared" si="5"/>
        <v>45519</v>
      </c>
      <c r="L46" s="130">
        <v>5.71</v>
      </c>
      <c r="M46" s="92">
        <f t="shared" si="6"/>
        <v>-4.9999999999999822E-2</v>
      </c>
      <c r="N46" s="92">
        <f t="shared" si="25"/>
        <v>90639.679999999993</v>
      </c>
      <c r="O46" s="86">
        <v>13.65</v>
      </c>
      <c r="P46" s="92">
        <f t="shared" si="18"/>
        <v>90569.83</v>
      </c>
      <c r="Q46" s="94">
        <f t="shared" si="19"/>
        <v>111.53540507169518</v>
      </c>
      <c r="R46" s="92">
        <f>VLOOKUP(B46,'VNA e PRT'!B:G,6,FALSE)</f>
        <v>6388.5406852083452</v>
      </c>
      <c r="S46" s="239">
        <f>VLOOKUP(B46,'VNA e PRT'!B:G,3,FALSE)</f>
        <v>0.44</v>
      </c>
      <c r="T46" s="92">
        <f t="shared" si="7"/>
        <v>144763.8208435663</v>
      </c>
      <c r="U46" s="141">
        <f t="shared" si="8"/>
        <v>2.4773593147112529</v>
      </c>
      <c r="V46" s="134">
        <f t="shared" si="20"/>
        <v>358631.24946443655</v>
      </c>
      <c r="W46" s="134">
        <f t="shared" si="21"/>
        <v>0.12793323077684438</v>
      </c>
      <c r="X46" s="135">
        <f t="shared" si="22"/>
        <v>1.0251820910761371</v>
      </c>
      <c r="Y46" s="99">
        <f t="shared" si="26"/>
        <v>0</v>
      </c>
      <c r="Z46" s="97">
        <f t="shared" si="9"/>
        <v>0</v>
      </c>
      <c r="AA46" s="92">
        <f t="shared" si="27"/>
        <v>358632</v>
      </c>
      <c r="AB46" s="92">
        <f t="shared" si="29"/>
        <v>358355.68672532553</v>
      </c>
      <c r="AC46" s="211">
        <f t="shared" si="30"/>
        <v>5.072582748204546E-2</v>
      </c>
      <c r="AD46" s="93">
        <f t="shared" si="23"/>
        <v>1.0225946575803777</v>
      </c>
      <c r="AF46" s="92">
        <f t="shared" si="31"/>
        <v>458</v>
      </c>
      <c r="AG46" s="92">
        <f t="shared" si="32"/>
        <v>-276.31327467445675</v>
      </c>
      <c r="AH46" s="92">
        <f t="shared" si="24"/>
        <v>181.68672532554325</v>
      </c>
      <c r="AJ46" s="130">
        <v>5.81</v>
      </c>
      <c r="AK46" s="86">
        <v>5.71</v>
      </c>
      <c r="AL46" s="86">
        <v>13.65</v>
      </c>
    </row>
    <row r="47" spans="1:38" x14ac:dyDescent="0.3">
      <c r="A47" s="133">
        <f t="shared" si="14"/>
        <v>45</v>
      </c>
      <c r="B47" s="90">
        <v>44872</v>
      </c>
      <c r="C47" s="90">
        <f t="shared" si="15"/>
        <v>45519</v>
      </c>
      <c r="D47" s="91">
        <f>NETWORKDAYS(B47,C47-1,Feriados!$A$2:$A$2000)</f>
        <v>445</v>
      </c>
      <c r="E47" s="130">
        <v>5.78</v>
      </c>
      <c r="F47" s="92">
        <f t="shared" si="3"/>
        <v>7.0000000000000284E-2</v>
      </c>
      <c r="G47" s="132">
        <f>TRUNC((100/(1+E47/100)^(D47/252)/100)*VLOOKUP(B47,'VNA e PRT'!B:C,2,FALSE),2)</f>
        <v>3583.71</v>
      </c>
      <c r="H47" s="92">
        <f t="shared" si="16"/>
        <v>358371</v>
      </c>
      <c r="I47" s="92">
        <f t="shared" si="28"/>
        <v>-7.2776550893394187E-2</v>
      </c>
      <c r="J47" s="93">
        <f t="shared" si="17"/>
        <v>1.0244381428269245</v>
      </c>
      <c r="K47" s="90">
        <f t="shared" si="5"/>
        <v>45519</v>
      </c>
      <c r="L47" s="130">
        <v>5.78</v>
      </c>
      <c r="M47" s="92">
        <f t="shared" si="6"/>
        <v>7.0000000000000284E-2</v>
      </c>
      <c r="N47" s="92">
        <f t="shared" si="25"/>
        <v>90553.74</v>
      </c>
      <c r="O47" s="86">
        <v>13.65</v>
      </c>
      <c r="P47" s="92">
        <f t="shared" si="18"/>
        <v>90665.81</v>
      </c>
      <c r="Q47" s="94">
        <f t="shared" si="19"/>
        <v>-178.99093864781273</v>
      </c>
      <c r="R47" s="92">
        <f>VLOOKUP(B47,'VNA e PRT'!B:G,6,FALSE)</f>
        <v>6389.9432351891874</v>
      </c>
      <c r="S47" s="239">
        <f>VLOOKUP(B47,'VNA e PRT'!B:G,3,FALSE)</f>
        <v>0.44</v>
      </c>
      <c r="T47" s="92">
        <f t="shared" si="7"/>
        <v>144658.31458352014</v>
      </c>
      <c r="U47" s="141">
        <f t="shared" si="8"/>
        <v>2.4773619202724113</v>
      </c>
      <c r="V47" s="134">
        <f t="shared" si="20"/>
        <v>358369.96590179804</v>
      </c>
      <c r="W47" s="134">
        <f t="shared" si="21"/>
        <v>-7.2855771221469467E-2</v>
      </c>
      <c r="X47" s="135">
        <f t="shared" si="22"/>
        <v>1.0244351867572592</v>
      </c>
      <c r="Y47" s="99">
        <f t="shared" si="26"/>
        <v>0</v>
      </c>
      <c r="Z47" s="97">
        <f t="shared" si="9"/>
        <v>0</v>
      </c>
      <c r="AA47" s="92">
        <f t="shared" si="27"/>
        <v>358371</v>
      </c>
      <c r="AB47" s="92">
        <f t="shared" si="29"/>
        <v>358814.4253354799</v>
      </c>
      <c r="AC47" s="211">
        <f t="shared" si="30"/>
        <v>5.0866998895782167E-2</v>
      </c>
      <c r="AD47" s="93">
        <f t="shared" si="23"/>
        <v>1.0231148207935574</v>
      </c>
      <c r="AF47" s="92">
        <f t="shared" si="31"/>
        <v>-261</v>
      </c>
      <c r="AG47" s="92">
        <f t="shared" si="32"/>
        <v>443.42533547990672</v>
      </c>
      <c r="AH47" s="92">
        <f t="shared" si="24"/>
        <v>182.42533547990672</v>
      </c>
      <c r="AJ47" s="130">
        <v>5.8</v>
      </c>
      <c r="AK47" s="86">
        <v>5.78</v>
      </c>
      <c r="AL47" s="86">
        <v>13.65</v>
      </c>
    </row>
    <row r="48" spans="1:38" x14ac:dyDescent="0.3">
      <c r="A48" s="133">
        <f t="shared" si="14"/>
        <v>46</v>
      </c>
      <c r="B48" s="90">
        <v>44873</v>
      </c>
      <c r="C48" s="90">
        <f t="shared" si="15"/>
        <v>45519</v>
      </c>
      <c r="D48" s="91">
        <f>NETWORKDAYS(B48,C48-1,Feriados!$A$2:$A$2000)</f>
        <v>444</v>
      </c>
      <c r="E48" s="130">
        <v>5.79</v>
      </c>
      <c r="F48" s="92">
        <f t="shared" si="3"/>
        <v>9.9999999999997868E-3</v>
      </c>
      <c r="G48" s="132">
        <f>TRUNC((100/(1+E48/100)^(D48/252)/100)*VLOOKUP(B48,'VNA e PRT'!B:C,2,FALSE),2)</f>
        <v>3584.7</v>
      </c>
      <c r="H48" s="92">
        <f t="shared" si="16"/>
        <v>358470</v>
      </c>
      <c r="I48" s="92">
        <f t="shared" si="28"/>
        <v>2.7625003139197801E-2</v>
      </c>
      <c r="J48" s="93">
        <f t="shared" si="17"/>
        <v>1.0247211438960395</v>
      </c>
      <c r="K48" s="90">
        <f t="shared" si="5"/>
        <v>45519</v>
      </c>
      <c r="L48" s="130">
        <v>5.79</v>
      </c>
      <c r="M48" s="92">
        <f t="shared" si="6"/>
        <v>9.9999999999997868E-3</v>
      </c>
      <c r="N48" s="92">
        <f t="shared" si="25"/>
        <v>90558.85</v>
      </c>
      <c r="O48" s="86">
        <v>13.65</v>
      </c>
      <c r="P48" s="92">
        <f t="shared" si="18"/>
        <v>90579.839999999997</v>
      </c>
      <c r="Q48" s="94">
        <f t="shared" si="19"/>
        <v>-33.531227126640381</v>
      </c>
      <c r="R48" s="92">
        <f>VLOOKUP(B48,'VNA e PRT'!B:G,6,FALSE)</f>
        <v>6391.3460935622325</v>
      </c>
      <c r="S48" s="239">
        <f>VLOOKUP(B48,'VNA e PRT'!B:G,3,FALSE)</f>
        <v>0.44</v>
      </c>
      <c r="T48" s="92">
        <f t="shared" si="7"/>
        <v>144698.23804624705</v>
      </c>
      <c r="U48" s="141">
        <f t="shared" si="8"/>
        <v>2.4773625777352541</v>
      </c>
      <c r="V48" s="134">
        <f t="shared" si="20"/>
        <v>358468.905966577</v>
      </c>
      <c r="W48" s="134">
        <f t="shared" si="21"/>
        <v>2.7608358454367377E-2</v>
      </c>
      <c r="X48" s="135">
        <f t="shared" si="22"/>
        <v>1.0247180164957519</v>
      </c>
      <c r="Y48" s="99">
        <f t="shared" si="26"/>
        <v>0</v>
      </c>
      <c r="Z48" s="97">
        <f t="shared" si="9"/>
        <v>0</v>
      </c>
      <c r="AA48" s="92">
        <f t="shared" si="27"/>
        <v>358470</v>
      </c>
      <c r="AB48" s="92">
        <f t="shared" si="29"/>
        <v>358553.06900726911</v>
      </c>
      <c r="AC48" s="211">
        <f t="shared" si="30"/>
        <v>5.0804615124855346E-2</v>
      </c>
      <c r="AD48" s="93">
        <f t="shared" si="23"/>
        <v>1.0236346103405469</v>
      </c>
      <c r="AF48" s="92">
        <f t="shared" si="31"/>
        <v>99</v>
      </c>
      <c r="AG48" s="92">
        <f t="shared" si="32"/>
        <v>83.069007269080089</v>
      </c>
      <c r="AH48" s="92">
        <f t="shared" si="24"/>
        <v>182.06900726908009</v>
      </c>
      <c r="AJ48" s="130">
        <v>5.88</v>
      </c>
      <c r="AK48" s="86">
        <v>5.79</v>
      </c>
      <c r="AL48" s="86">
        <v>13.65</v>
      </c>
    </row>
    <row r="49" spans="1:38" x14ac:dyDescent="0.3">
      <c r="A49" s="133">
        <f t="shared" si="14"/>
        <v>47</v>
      </c>
      <c r="B49" s="90">
        <v>44874</v>
      </c>
      <c r="C49" s="90">
        <f t="shared" si="15"/>
        <v>45519</v>
      </c>
      <c r="D49" s="91">
        <f>NETWORKDAYS(B49,C49-1,Feriados!$A$2:$A$2000)</f>
        <v>443</v>
      </c>
      <c r="E49" s="130">
        <v>5.88</v>
      </c>
      <c r="F49" s="92">
        <f t="shared" si="3"/>
        <v>8.9999999999999858E-2</v>
      </c>
      <c r="G49" s="132">
        <f>TRUNC((100/(1+E49/100)^(D49/252)/100)*VLOOKUP(B49,'VNA e PRT'!B:C,2,FALSE),2)</f>
        <v>3580.93</v>
      </c>
      <c r="H49" s="92">
        <f t="shared" si="16"/>
        <v>358093</v>
      </c>
      <c r="I49" s="92">
        <f t="shared" si="28"/>
        <v>-0.10516919128518154</v>
      </c>
      <c r="J49" s="93">
        <f t="shared" si="17"/>
        <v>1.0236434529560758</v>
      </c>
      <c r="K49" s="90">
        <f t="shared" si="5"/>
        <v>45519</v>
      </c>
      <c r="L49" s="130">
        <v>5.88</v>
      </c>
      <c r="M49" s="92">
        <f t="shared" si="6"/>
        <v>8.9999999999999858E-2</v>
      </c>
      <c r="N49" s="92">
        <f t="shared" si="25"/>
        <v>90443.78</v>
      </c>
      <c r="O49" s="86">
        <v>13.65</v>
      </c>
      <c r="P49" s="92">
        <f t="shared" si="18"/>
        <v>90584.960000000006</v>
      </c>
      <c r="Q49" s="94">
        <f t="shared" si="19"/>
        <v>-225.58256037229111</v>
      </c>
      <c r="R49" s="92">
        <f>VLOOKUP(B49,'VNA e PRT'!B:G,6,FALSE)</f>
        <v>6392.7492587128618</v>
      </c>
      <c r="S49" s="239">
        <f>VLOOKUP(B49,'VNA e PRT'!B:G,3,FALSE)</f>
        <v>0.44</v>
      </c>
      <c r="T49" s="92">
        <f t="shared" si="7"/>
        <v>144546.10188754729</v>
      </c>
      <c r="U49" s="141">
        <f t="shared" si="8"/>
        <v>2.4773618611907366</v>
      </c>
      <c r="V49" s="134">
        <f t="shared" si="20"/>
        <v>358092.115656726</v>
      </c>
      <c r="W49" s="134">
        <f t="shared" si="21"/>
        <v>-0.10511101620794827</v>
      </c>
      <c r="X49" s="135">
        <f t="shared" si="22"/>
        <v>1.0236409249753473</v>
      </c>
      <c r="Y49" s="99">
        <f t="shared" si="26"/>
        <v>0</v>
      </c>
      <c r="Z49" s="97">
        <f t="shared" si="9"/>
        <v>0</v>
      </c>
      <c r="AA49" s="92">
        <f t="shared" si="27"/>
        <v>358093</v>
      </c>
      <c r="AB49" s="92">
        <f t="shared" si="29"/>
        <v>358651.84963161609</v>
      </c>
      <c r="AC49" s="211">
        <f t="shared" si="30"/>
        <v>5.0729386452452729E-2</v>
      </c>
      <c r="AD49" s="93">
        <f t="shared" si="23"/>
        <v>1.0241538938978876</v>
      </c>
      <c r="AF49" s="92">
        <f t="shared" si="31"/>
        <v>-377</v>
      </c>
      <c r="AG49" s="92">
        <f t="shared" si="32"/>
        <v>558.84963161607084</v>
      </c>
      <c r="AH49" s="92">
        <f t="shared" si="24"/>
        <v>181.84963161607084</v>
      </c>
      <c r="AJ49" s="130">
        <v>5.9</v>
      </c>
      <c r="AK49" s="86">
        <v>5.88</v>
      </c>
      <c r="AL49" s="86">
        <v>13.65</v>
      </c>
    </row>
    <row r="50" spans="1:38" x14ac:dyDescent="0.3">
      <c r="A50" s="133">
        <f t="shared" si="14"/>
        <v>48</v>
      </c>
      <c r="B50" s="90">
        <v>44875</v>
      </c>
      <c r="C50" s="90">
        <f t="shared" si="15"/>
        <v>45519</v>
      </c>
      <c r="D50" s="91">
        <f>NETWORKDAYS(B50,C50-1,Feriados!$A$2:$A$2000)</f>
        <v>442</v>
      </c>
      <c r="E50" s="130">
        <v>6.33</v>
      </c>
      <c r="F50" s="92">
        <f t="shared" si="3"/>
        <v>0.45000000000000018</v>
      </c>
      <c r="G50" s="132">
        <f>TRUNC((100/(1+E50/100)^(D50/252)/100)*VLOOKUP(B50,'VNA e PRT'!B:C,2,FALSE),2)</f>
        <v>3560.49</v>
      </c>
      <c r="H50" s="92">
        <f t="shared" si="16"/>
        <v>356049</v>
      </c>
      <c r="I50" s="92">
        <f t="shared" si="28"/>
        <v>-0.57080143984942211</v>
      </c>
      <c r="J50" s="93">
        <f t="shared" si="17"/>
        <v>1.0178004813876782</v>
      </c>
      <c r="K50" s="90">
        <f t="shared" si="5"/>
        <v>45519</v>
      </c>
      <c r="L50" s="130">
        <v>6.33</v>
      </c>
      <c r="M50" s="92">
        <f t="shared" si="6"/>
        <v>0.45000000000000018</v>
      </c>
      <c r="N50" s="92">
        <f t="shared" si="25"/>
        <v>89793.84</v>
      </c>
      <c r="O50" s="86">
        <v>13.65</v>
      </c>
      <c r="P50" s="92">
        <f t="shared" si="18"/>
        <v>90355.11</v>
      </c>
      <c r="Q50" s="94">
        <f t="shared" si="19"/>
        <v>-897.01459410944847</v>
      </c>
      <c r="R50" s="92">
        <f>VLOOKUP(B50,'VNA e PRT'!B:G,6,FALSE)</f>
        <v>6402.2728959581091</v>
      </c>
      <c r="S50" s="239">
        <f>VLOOKUP(B50,'VNA e PRT'!B:G,3,FALSE)</f>
        <v>0.59</v>
      </c>
      <c r="T50" s="92">
        <f t="shared" si="7"/>
        <v>143721.16701399977</v>
      </c>
      <c r="U50" s="141">
        <f t="shared" si="8"/>
        <v>2.4773595107623745</v>
      </c>
      <c r="V50" s="134">
        <f t="shared" si="20"/>
        <v>356051.75597807817</v>
      </c>
      <c r="W50" s="134">
        <f t="shared" si="21"/>
        <v>-0.56978626153382228</v>
      </c>
      <c r="X50" s="135">
        <f t="shared" si="22"/>
        <v>1.0178083596174001</v>
      </c>
      <c r="Y50" s="99">
        <f t="shared" si="26"/>
        <v>0</v>
      </c>
      <c r="Z50" s="97">
        <f t="shared" si="9"/>
        <v>0</v>
      </c>
      <c r="AA50" s="92">
        <f t="shared" si="27"/>
        <v>356049</v>
      </c>
      <c r="AB50" s="92">
        <f t="shared" si="29"/>
        <v>358271.22763600969</v>
      </c>
      <c r="AC50" s="211">
        <f t="shared" si="30"/>
        <v>4.9771326445835484E-2</v>
      </c>
      <c r="AD50" s="93">
        <f t="shared" si="23"/>
        <v>1.0246636288757272</v>
      </c>
      <c r="AF50" s="92">
        <f t="shared" si="31"/>
        <v>-2044</v>
      </c>
      <c r="AG50" s="92">
        <f t="shared" si="32"/>
        <v>2222.227636009693</v>
      </c>
      <c r="AH50" s="92">
        <f t="shared" si="24"/>
        <v>178.22763600969301</v>
      </c>
      <c r="AJ50" s="130">
        <v>6.22</v>
      </c>
      <c r="AK50" s="86">
        <v>6.33</v>
      </c>
      <c r="AL50" s="86">
        <v>13.65</v>
      </c>
    </row>
    <row r="51" spans="1:38" x14ac:dyDescent="0.3">
      <c r="A51" s="133">
        <f t="shared" si="14"/>
        <v>49</v>
      </c>
      <c r="B51" s="90">
        <v>44876</v>
      </c>
      <c r="C51" s="90">
        <f t="shared" si="15"/>
        <v>45519</v>
      </c>
      <c r="D51" s="91">
        <f>NETWORKDAYS(B51,C51-1,Feriados!$A$2:$A$2000)</f>
        <v>441</v>
      </c>
      <c r="E51" s="130">
        <v>6.51</v>
      </c>
      <c r="F51" s="92">
        <f t="shared" si="3"/>
        <v>0.17999999999999972</v>
      </c>
      <c r="G51" s="132">
        <f>TRUNC((100/(1+E51/100)^(D51/252)/100)*VLOOKUP(B51,'VNA e PRT'!B:C,2,FALSE),2)</f>
        <v>3551.88</v>
      </c>
      <c r="H51" s="92">
        <f t="shared" si="16"/>
        <v>355188</v>
      </c>
      <c r="I51" s="92">
        <f t="shared" si="28"/>
        <v>-0.24182064828154326</v>
      </c>
      <c r="J51" s="93">
        <f t="shared" si="17"/>
        <v>1.0153392296653738</v>
      </c>
      <c r="K51" s="90">
        <f t="shared" si="5"/>
        <v>45519</v>
      </c>
      <c r="L51" s="130">
        <v>6.51</v>
      </c>
      <c r="M51" s="92">
        <f t="shared" si="6"/>
        <v>0.17999999999999972</v>
      </c>
      <c r="N51" s="92">
        <f t="shared" si="25"/>
        <v>89550.25</v>
      </c>
      <c r="O51" s="86">
        <v>13.65</v>
      </c>
      <c r="P51" s="92">
        <f t="shared" si="18"/>
        <v>89813.02</v>
      </c>
      <c r="Q51" s="94">
        <f t="shared" si="19"/>
        <v>-420.58131221773459</v>
      </c>
      <c r="R51" s="92">
        <f>VLOOKUP(B51,'VNA e PRT'!B:G,6,FALSE)</f>
        <v>6404.1565442349311</v>
      </c>
      <c r="S51" s="239">
        <f>VLOOKUP(B51,'VNA e PRT'!B:G,3,FALSE)</f>
        <v>0.59</v>
      </c>
      <c r="T51" s="92">
        <f t="shared" si="7"/>
        <v>143373.45489384353</v>
      </c>
      <c r="U51" s="141">
        <f t="shared" si="8"/>
        <v>2.4773623559743889</v>
      </c>
      <c r="V51" s="134">
        <f t="shared" si="20"/>
        <v>355190.65536629036</v>
      </c>
      <c r="W51" s="134">
        <f t="shared" si="21"/>
        <v>-0.24184703412636344</v>
      </c>
      <c r="X51" s="135">
        <f t="shared" si="22"/>
        <v>1.0153468202865752</v>
      </c>
      <c r="Y51" s="99">
        <f t="shared" si="26"/>
        <v>0</v>
      </c>
      <c r="Z51" s="97">
        <f t="shared" si="9"/>
        <v>0</v>
      </c>
      <c r="AA51" s="92">
        <f t="shared" si="27"/>
        <v>355188</v>
      </c>
      <c r="AB51" s="92">
        <f t="shared" si="29"/>
        <v>356229.9323105145</v>
      </c>
      <c r="AC51" s="211">
        <f t="shared" si="30"/>
        <v>5.0816688296984047E-2</v>
      </c>
      <c r="AD51" s="93">
        <f t="shared" si="23"/>
        <v>1.0251843289981055</v>
      </c>
      <c r="AF51" s="92">
        <f t="shared" si="31"/>
        <v>-861</v>
      </c>
      <c r="AG51" s="92">
        <f t="shared" si="32"/>
        <v>1041.932310514527</v>
      </c>
      <c r="AH51" s="92">
        <f t="shared" si="24"/>
        <v>180.93231051452699</v>
      </c>
      <c r="AJ51" s="130">
        <v>6.59</v>
      </c>
      <c r="AK51" s="86">
        <v>6.51</v>
      </c>
      <c r="AL51" s="86">
        <v>13.65</v>
      </c>
    </row>
    <row r="52" spans="1:38" x14ac:dyDescent="0.3">
      <c r="A52" s="133">
        <f t="shared" si="14"/>
        <v>50</v>
      </c>
      <c r="B52" s="90">
        <v>44879</v>
      </c>
      <c r="C52" s="90">
        <f t="shared" si="15"/>
        <v>45519</v>
      </c>
      <c r="D52" s="91">
        <f>NETWORKDAYS(B52,C52-1,Feriados!$A$2:$A$2000)</f>
        <v>440</v>
      </c>
      <c r="E52" s="130">
        <v>6.34</v>
      </c>
      <c r="F52" s="92">
        <f t="shared" si="3"/>
        <v>-0.16999999999999993</v>
      </c>
      <c r="G52" s="132">
        <f>TRUNC((100/(1+E52/100)^(D52/252)/100)*VLOOKUP(B52,'VNA e PRT'!B:C,2,FALSE),2)</f>
        <v>3563.74</v>
      </c>
      <c r="H52" s="92">
        <f t="shared" si="16"/>
        <v>356374</v>
      </c>
      <c r="I52" s="92">
        <f t="shared" si="28"/>
        <v>0.33390767706116264</v>
      </c>
      <c r="J52" s="93">
        <f t="shared" si="17"/>
        <v>1.0187295253014401</v>
      </c>
      <c r="K52" s="90">
        <f t="shared" si="5"/>
        <v>45519</v>
      </c>
      <c r="L52" s="130">
        <v>6.34</v>
      </c>
      <c r="M52" s="92">
        <f t="shared" si="6"/>
        <v>-0.16999999999999993</v>
      </c>
      <c r="N52" s="92">
        <f t="shared" si="25"/>
        <v>89822.84</v>
      </c>
      <c r="O52" s="86">
        <v>13.65</v>
      </c>
      <c r="P52" s="92">
        <f t="shared" si="18"/>
        <v>89569.38</v>
      </c>
      <c r="Q52" s="94">
        <f t="shared" si="19"/>
        <v>405.79937942543336</v>
      </c>
      <c r="R52" s="92">
        <f>VLOOKUP(B52,'VNA e PRT'!B:G,6,FALSE)</f>
        <v>6406.0407447114058</v>
      </c>
      <c r="S52" s="239">
        <f>VLOOKUP(B52,'VNA e PRT'!B:G,3,FALSE)</f>
        <v>0.59</v>
      </c>
      <c r="T52" s="92">
        <f t="shared" si="7"/>
        <v>143852.19321142335</v>
      </c>
      <c r="U52" s="141">
        <f t="shared" si="8"/>
        <v>2.4773622983712715</v>
      </c>
      <c r="V52" s="134">
        <f t="shared" si="20"/>
        <v>356376.36181220791</v>
      </c>
      <c r="W52" s="134">
        <f t="shared" si="21"/>
        <v>0.333822533899375</v>
      </c>
      <c r="X52" s="135">
        <f t="shared" si="22"/>
        <v>1.0187362767699226</v>
      </c>
      <c r="Y52" s="99">
        <f t="shared" si="26"/>
        <v>0</v>
      </c>
      <c r="Z52" s="97">
        <f t="shared" si="9"/>
        <v>0</v>
      </c>
      <c r="AA52" s="92">
        <f t="shared" si="27"/>
        <v>356374</v>
      </c>
      <c r="AB52" s="92">
        <f t="shared" si="29"/>
        <v>355368.68791670899</v>
      </c>
      <c r="AC52" s="211">
        <f t="shared" si="30"/>
        <v>5.0871064537361121E-2</v>
      </c>
      <c r="AD52" s="93">
        <f t="shared" si="23"/>
        <v>1.025705851179737</v>
      </c>
      <c r="AF52" s="92">
        <f t="shared" si="31"/>
        <v>1186</v>
      </c>
      <c r="AG52" s="92">
        <f t="shared" si="32"/>
        <v>-1005.3120832910273</v>
      </c>
      <c r="AH52" s="92">
        <f t="shared" si="24"/>
        <v>180.68791670897269</v>
      </c>
      <c r="AJ52" s="130">
        <v>6.49</v>
      </c>
      <c r="AK52" s="86">
        <v>6.34</v>
      </c>
      <c r="AL52" s="86">
        <v>13.65</v>
      </c>
    </row>
    <row r="53" spans="1:38" x14ac:dyDescent="0.3">
      <c r="A53" s="133">
        <f t="shared" si="14"/>
        <v>51</v>
      </c>
      <c r="B53" s="90">
        <v>44881</v>
      </c>
      <c r="C53" s="90">
        <f t="shared" si="15"/>
        <v>45519</v>
      </c>
      <c r="D53" s="91">
        <f>NETWORKDAYS(B53,C53-1,Feriados!$A$2:$A$2000)</f>
        <v>439</v>
      </c>
      <c r="E53" s="130">
        <v>6.5</v>
      </c>
      <c r="F53" s="92">
        <f t="shared" si="3"/>
        <v>0.16000000000000014</v>
      </c>
      <c r="G53" s="132">
        <f>TRUNC((100/(1+E53/100)^(D53/252)/100)*VLOOKUP(B53,'VNA e PRT'!B:C,2,FALSE),2)</f>
        <v>3556.33</v>
      </c>
      <c r="H53" s="92">
        <f t="shared" si="16"/>
        <v>355633</v>
      </c>
      <c r="I53" s="92">
        <f t="shared" si="28"/>
        <v>-0.20792762659452846</v>
      </c>
      <c r="J53" s="93">
        <f t="shared" si="17"/>
        <v>1.0166113051780632</v>
      </c>
      <c r="K53" s="90">
        <f t="shared" si="5"/>
        <v>45519</v>
      </c>
      <c r="L53" s="130">
        <v>6.5</v>
      </c>
      <c r="M53" s="92">
        <f t="shared" si="6"/>
        <v>0.16000000000000014</v>
      </c>
      <c r="N53" s="92">
        <f t="shared" si="25"/>
        <v>89609.75</v>
      </c>
      <c r="O53" s="86">
        <v>13.65</v>
      </c>
      <c r="P53" s="92">
        <f t="shared" si="18"/>
        <v>89842.03</v>
      </c>
      <c r="Q53" s="94">
        <f t="shared" si="19"/>
        <v>-371.99878604538947</v>
      </c>
      <c r="R53" s="92">
        <f>VLOOKUP(B53,'VNA e PRT'!B:G,6,FALSE)</f>
        <v>6407.9255006167705</v>
      </c>
      <c r="S53" s="239">
        <f>VLOOKUP(B53,'VNA e PRT'!B:G,3,FALSE)</f>
        <v>0.59</v>
      </c>
      <c r="T53" s="92">
        <f t="shared" si="7"/>
        <v>143553.15053222343</v>
      </c>
      <c r="U53" s="141">
        <f t="shared" si="8"/>
        <v>2.477361163314705</v>
      </c>
      <c r="V53" s="134">
        <f t="shared" si="20"/>
        <v>355635.78302651772</v>
      </c>
      <c r="W53" s="134">
        <f t="shared" si="21"/>
        <v>-0.20780805492380816</v>
      </c>
      <c r="X53" s="135">
        <f t="shared" si="22"/>
        <v>1.0166192607283637</v>
      </c>
      <c r="Y53" s="99">
        <f t="shared" si="26"/>
        <v>0</v>
      </c>
      <c r="Z53" s="97">
        <f t="shared" si="9"/>
        <v>0</v>
      </c>
      <c r="AA53" s="92">
        <f t="shared" si="27"/>
        <v>355633</v>
      </c>
      <c r="AB53" s="92">
        <f t="shared" si="29"/>
        <v>356554.57534534909</v>
      </c>
      <c r="AC53" s="211">
        <f t="shared" si="30"/>
        <v>5.0670179460077236E-2</v>
      </c>
      <c r="AD53" s="93">
        <f t="shared" si="23"/>
        <v>1.0262255781752623</v>
      </c>
      <c r="AF53" s="92">
        <f t="shared" si="31"/>
        <v>-741</v>
      </c>
      <c r="AG53" s="92">
        <f t="shared" si="32"/>
        <v>921.57534534906415</v>
      </c>
      <c r="AH53" s="92">
        <f t="shared" si="24"/>
        <v>180.57534534906415</v>
      </c>
      <c r="AJ53" s="130">
        <v>6.4600000000000009</v>
      </c>
      <c r="AK53" s="86">
        <v>6.5</v>
      </c>
      <c r="AL53" s="86">
        <v>13.65</v>
      </c>
    </row>
    <row r="54" spans="1:38" x14ac:dyDescent="0.3">
      <c r="A54" s="133">
        <f t="shared" si="14"/>
        <v>52</v>
      </c>
      <c r="B54" s="90">
        <v>44882</v>
      </c>
      <c r="C54" s="90">
        <f t="shared" si="15"/>
        <v>45519</v>
      </c>
      <c r="D54" s="91">
        <f>NETWORKDAYS(B54,C54-1,Feriados!$A$2:$A$2000)</f>
        <v>438</v>
      </c>
      <c r="E54" s="130">
        <v>6.61</v>
      </c>
      <c r="F54" s="92">
        <f t="shared" si="3"/>
        <v>0.11000000000000032</v>
      </c>
      <c r="G54" s="132">
        <f>TRUNC((100/(1+E54/100)^(D54/252)/100)*VLOOKUP(B54,'VNA e PRT'!B:C,2,FALSE),2)</f>
        <v>3551.6</v>
      </c>
      <c r="H54" s="92">
        <f t="shared" si="16"/>
        <v>355160</v>
      </c>
      <c r="I54" s="92">
        <f t="shared" si="28"/>
        <v>-0.13300228044079709</v>
      </c>
      <c r="J54" s="93">
        <f t="shared" si="17"/>
        <v>1.0152591889589575</v>
      </c>
      <c r="K54" s="90">
        <f t="shared" si="5"/>
        <v>45519</v>
      </c>
      <c r="L54" s="130">
        <v>6.61</v>
      </c>
      <c r="M54" s="92">
        <f t="shared" si="6"/>
        <v>0.11000000000000032</v>
      </c>
      <c r="N54" s="92">
        <f t="shared" si="25"/>
        <v>89471.46</v>
      </c>
      <c r="O54" s="86">
        <v>13.65</v>
      </c>
      <c r="P54" s="92">
        <f t="shared" si="18"/>
        <v>89636.09</v>
      </c>
      <c r="Q54" s="94">
        <f t="shared" si="19"/>
        <v>-263.73419379161891</v>
      </c>
      <c r="R54" s="92">
        <f>VLOOKUP(B54,'VNA e PRT'!B:G,6,FALSE)</f>
        <v>6409.295693635524</v>
      </c>
      <c r="S54" s="239">
        <f>VLOOKUP(B54,'VNA e PRT'!B:G,3,FALSE)</f>
        <v>0.45</v>
      </c>
      <c r="T54" s="92">
        <f t="shared" si="7"/>
        <v>143362.26082032078</v>
      </c>
      <c r="U54" s="141">
        <f t="shared" si="8"/>
        <v>2.4773604850242297</v>
      </c>
      <c r="V54" s="134">
        <f t="shared" si="20"/>
        <v>355163.03879049746</v>
      </c>
      <c r="W54" s="134">
        <f t="shared" si="21"/>
        <v>-0.13292932224004961</v>
      </c>
      <c r="X54" s="135">
        <f t="shared" si="22"/>
        <v>1.0152678756353157</v>
      </c>
      <c r="Y54" s="99">
        <f t="shared" si="26"/>
        <v>0</v>
      </c>
      <c r="Z54" s="97">
        <f t="shared" si="9"/>
        <v>0</v>
      </c>
      <c r="AA54" s="92">
        <f t="shared" si="27"/>
        <v>355160</v>
      </c>
      <c r="AB54" s="92">
        <f t="shared" si="29"/>
        <v>355813.36467024905</v>
      </c>
      <c r="AC54" s="211">
        <f t="shared" si="30"/>
        <v>5.0716516816229351E-2</v>
      </c>
      <c r="AD54" s="93">
        <f t="shared" si="23"/>
        <v>1.0267460440431899</v>
      </c>
      <c r="AF54" s="92">
        <f t="shared" si="31"/>
        <v>-473</v>
      </c>
      <c r="AG54" s="92">
        <f t="shared" si="32"/>
        <v>653.36467024907915</v>
      </c>
      <c r="AH54" s="92">
        <f t="shared" si="24"/>
        <v>180.36467024907915</v>
      </c>
      <c r="AJ54" s="130">
        <v>6.7099999999999991</v>
      </c>
      <c r="AK54" s="86">
        <v>6.61</v>
      </c>
      <c r="AL54" s="86">
        <v>13.65</v>
      </c>
    </row>
    <row r="55" spans="1:38" x14ac:dyDescent="0.3">
      <c r="A55" s="133">
        <f t="shared" si="14"/>
        <v>53</v>
      </c>
      <c r="B55" s="90">
        <v>44883</v>
      </c>
      <c r="C55" s="90">
        <f t="shared" si="15"/>
        <v>45519</v>
      </c>
      <c r="D55" s="91">
        <f>NETWORKDAYS(B55,C55-1,Feriados!$A$2:$A$2000)</f>
        <v>437</v>
      </c>
      <c r="E55" s="130">
        <v>6.64</v>
      </c>
      <c r="F55" s="92">
        <f t="shared" si="3"/>
        <v>2.9999999999999361E-2</v>
      </c>
      <c r="G55" s="132">
        <f>TRUNC((100/(1+E55/100)^(D55/252)/100)*VLOOKUP(B55,'VNA e PRT'!B:C,2,FALSE),2)</f>
        <v>3551.53</v>
      </c>
      <c r="H55" s="92">
        <f t="shared" si="16"/>
        <v>355153</v>
      </c>
      <c r="I55" s="92">
        <f t="shared" si="28"/>
        <v>-1.9709426737124502E-3</v>
      </c>
      <c r="J55" s="93">
        <f t="shared" si="17"/>
        <v>1.0152391787823536</v>
      </c>
      <c r="K55" s="90">
        <f t="shared" si="5"/>
        <v>45519</v>
      </c>
      <c r="L55" s="130">
        <v>6.64</v>
      </c>
      <c r="M55" s="92">
        <f t="shared" si="6"/>
        <v>2.9999999999999361E-2</v>
      </c>
      <c r="N55" s="92">
        <f t="shared" si="25"/>
        <v>89450.53</v>
      </c>
      <c r="O55" s="86">
        <v>13.65</v>
      </c>
      <c r="P55" s="92">
        <f t="shared" si="18"/>
        <v>89497.76</v>
      </c>
      <c r="Q55" s="94">
        <f t="shared" si="19"/>
        <v>-75.677758902594931</v>
      </c>
      <c r="R55" s="92">
        <f>VLOOKUP(B55,'VNA e PRT'!B:G,6,FALSE)</f>
        <v>6410.6661789002928</v>
      </c>
      <c r="S55" s="239">
        <f>VLOOKUP(B55,'VNA e PRT'!B:G,3,FALSE)</f>
        <v>0.45</v>
      </c>
      <c r="T55" s="92">
        <f t="shared" si="7"/>
        <v>143359.37183892651</v>
      </c>
      <c r="U55" s="141">
        <f t="shared" si="8"/>
        <v>2.4773615805113689</v>
      </c>
      <c r="V55" s="134">
        <f t="shared" si="20"/>
        <v>355155.93795480271</v>
      </c>
      <c r="W55" s="134">
        <f t="shared" si="21"/>
        <v>-1.999317192169503E-3</v>
      </c>
      <c r="X55" s="135">
        <f t="shared" si="22"/>
        <v>1.0152475772101315</v>
      </c>
      <c r="Y55" s="99">
        <f t="shared" si="26"/>
        <v>0</v>
      </c>
      <c r="Z55" s="97">
        <f t="shared" si="9"/>
        <v>0</v>
      </c>
      <c r="AA55" s="92">
        <f t="shared" si="27"/>
        <v>355153</v>
      </c>
      <c r="AB55" s="92">
        <f t="shared" si="29"/>
        <v>355340.48117240448</v>
      </c>
      <c r="AC55" s="211">
        <f t="shared" si="30"/>
        <v>5.0816863499414389E-2</v>
      </c>
      <c r="AD55" s="93">
        <f t="shared" si="23"/>
        <v>1.027267804178877</v>
      </c>
      <c r="AF55" s="92">
        <f t="shared" si="31"/>
        <v>-7</v>
      </c>
      <c r="AG55" s="92">
        <f t="shared" si="32"/>
        <v>187.48117240449091</v>
      </c>
      <c r="AH55" s="92">
        <f t="shared" si="24"/>
        <v>180.48117240449091</v>
      </c>
      <c r="AJ55" s="130">
        <v>6.52</v>
      </c>
      <c r="AK55" s="86">
        <v>6.64</v>
      </c>
      <c r="AL55" s="86">
        <v>13.65</v>
      </c>
    </row>
    <row r="56" spans="1:38" x14ac:dyDescent="0.3">
      <c r="A56" s="133">
        <f t="shared" si="14"/>
        <v>54</v>
      </c>
      <c r="B56" s="90">
        <v>44886</v>
      </c>
      <c r="C56" s="90">
        <f t="shared" si="15"/>
        <v>45519</v>
      </c>
      <c r="D56" s="91">
        <f>NETWORKDAYS(B56,C56-1,Feriados!$A$2:$A$2000)</f>
        <v>436</v>
      </c>
      <c r="E56" s="130">
        <v>6.61</v>
      </c>
      <c r="F56" s="92">
        <f t="shared" si="3"/>
        <v>-2.9999999999999361E-2</v>
      </c>
      <c r="G56" s="132">
        <f>TRUNC((100/(1+E56/100)^(D56/252)/100)*VLOOKUP(B56,'VNA e PRT'!B:C,2,FALSE),2)</f>
        <v>3554.93</v>
      </c>
      <c r="H56" s="92">
        <f t="shared" si="16"/>
        <v>355493</v>
      </c>
      <c r="I56" s="92">
        <f t="shared" si="28"/>
        <v>9.5733388145391451E-2</v>
      </c>
      <c r="J56" s="93">
        <f t="shared" si="17"/>
        <v>1.0162111016459814</v>
      </c>
      <c r="K56" s="90">
        <f t="shared" si="5"/>
        <v>45519</v>
      </c>
      <c r="L56" s="130">
        <v>6.61</v>
      </c>
      <c r="M56" s="92">
        <f t="shared" si="6"/>
        <v>-2.9999999999999361E-2</v>
      </c>
      <c r="N56" s="92">
        <f t="shared" si="25"/>
        <v>89516.92</v>
      </c>
      <c r="O56" s="86">
        <v>13.65</v>
      </c>
      <c r="P56" s="92">
        <f t="shared" si="18"/>
        <v>89476.83</v>
      </c>
      <c r="Q56" s="94">
        <f t="shared" si="19"/>
        <v>64.250901778022595</v>
      </c>
      <c r="R56" s="92">
        <f>VLOOKUP(B56,'VNA e PRT'!B:G,6,FALSE)</f>
        <v>6412.0369580256956</v>
      </c>
      <c r="S56" s="239">
        <f>VLOOKUP(B56,'VNA e PRT'!B:G,3,FALSE)</f>
        <v>0.45</v>
      </c>
      <c r="T56" s="92">
        <f t="shared" si="7"/>
        <v>143496.44985215738</v>
      </c>
      <c r="U56" s="141">
        <f t="shared" si="8"/>
        <v>2.4773644251565807</v>
      </c>
      <c r="V56" s="134">
        <f t="shared" si="20"/>
        <v>355495.48758348648</v>
      </c>
      <c r="W56" s="134">
        <f t="shared" si="21"/>
        <v>9.5605786753583111E-2</v>
      </c>
      <c r="X56" s="135">
        <f t="shared" si="22"/>
        <v>1.01621821264382</v>
      </c>
      <c r="Y56" s="99">
        <f t="shared" si="26"/>
        <v>0</v>
      </c>
      <c r="Z56" s="97">
        <f t="shared" si="9"/>
        <v>0</v>
      </c>
      <c r="AA56" s="92">
        <f t="shared" si="27"/>
        <v>355493</v>
      </c>
      <c r="AB56" s="92">
        <f t="shared" si="29"/>
        <v>355333.82710165088</v>
      </c>
      <c r="AC56" s="211">
        <f t="shared" si="30"/>
        <v>5.0915267969253719E-2</v>
      </c>
      <c r="AD56" s="93">
        <f t="shared" si="23"/>
        <v>1.0277908403341365</v>
      </c>
      <c r="AF56" s="92">
        <f t="shared" si="31"/>
        <v>340</v>
      </c>
      <c r="AG56" s="92">
        <f t="shared" si="32"/>
        <v>-159.17289834910287</v>
      </c>
      <c r="AH56" s="92">
        <f t="shared" si="24"/>
        <v>180.82710165089713</v>
      </c>
      <c r="AJ56" s="130">
        <v>6.64</v>
      </c>
      <c r="AK56" s="86">
        <v>6.61</v>
      </c>
      <c r="AL56" s="86">
        <v>13.65</v>
      </c>
    </row>
    <row r="57" spans="1:38" x14ac:dyDescent="0.3">
      <c r="A57" s="133">
        <f t="shared" si="14"/>
        <v>55</v>
      </c>
      <c r="B57" s="90">
        <v>44887</v>
      </c>
      <c r="C57" s="90">
        <f t="shared" si="15"/>
        <v>45519</v>
      </c>
      <c r="D57" s="91">
        <f>NETWORKDAYS(B57,C57-1,Feriados!$A$2:$A$2000)</f>
        <v>435</v>
      </c>
      <c r="E57" s="130">
        <v>6.81</v>
      </c>
      <c r="F57" s="92">
        <f t="shared" si="3"/>
        <v>0.19999999999999929</v>
      </c>
      <c r="G57" s="132">
        <f>TRUNC((100/(1+E57/100)^(D57/252)/100)*VLOOKUP(B57,'VNA e PRT'!B:C,2,FALSE),2)</f>
        <v>3545.1</v>
      </c>
      <c r="H57" s="92">
        <f t="shared" si="16"/>
        <v>354510</v>
      </c>
      <c r="I57" s="92">
        <f t="shared" si="28"/>
        <v>-0.27651739978001855</v>
      </c>
      <c r="J57" s="93">
        <f t="shared" si="17"/>
        <v>1.0134011011314341</v>
      </c>
      <c r="K57" s="90">
        <f t="shared" si="5"/>
        <v>45519</v>
      </c>
      <c r="L57" s="130">
        <v>6.81</v>
      </c>
      <c r="M57" s="92">
        <f t="shared" si="6"/>
        <v>0.19999999999999929</v>
      </c>
      <c r="N57" s="92">
        <f t="shared" si="25"/>
        <v>89250.44</v>
      </c>
      <c r="O57" s="86">
        <v>13.65</v>
      </c>
      <c r="P57" s="92">
        <f t="shared" si="18"/>
        <v>89543.24</v>
      </c>
      <c r="Q57" s="94">
        <f t="shared" si="19"/>
        <v>-469.36110532748557</v>
      </c>
      <c r="R57" s="92">
        <f>VLOOKUP(B57,'VNA e PRT'!B:G,6,FALSE)</f>
        <v>6413.4080310117324</v>
      </c>
      <c r="S57" s="239">
        <f>VLOOKUP(B57,'VNA e PRT'!B:G,3,FALSE)</f>
        <v>0.45</v>
      </c>
      <c r="T57" s="92">
        <f t="shared" si="7"/>
        <v>143099.87216683268</v>
      </c>
      <c r="U57" s="141">
        <f t="shared" si="8"/>
        <v>2.4773607036258936</v>
      </c>
      <c r="V57" s="134">
        <f t="shared" si="20"/>
        <v>354513.26000626455</v>
      </c>
      <c r="W57" s="134">
        <f t="shared" si="21"/>
        <v>-0.27629818423258179</v>
      </c>
      <c r="X57" s="135">
        <f t="shared" si="22"/>
        <v>1.0134104201744443</v>
      </c>
      <c r="Y57" s="99">
        <f t="shared" si="26"/>
        <v>0</v>
      </c>
      <c r="Z57" s="97">
        <f t="shared" si="9"/>
        <v>0</v>
      </c>
      <c r="AA57" s="92">
        <f t="shared" si="27"/>
        <v>354510</v>
      </c>
      <c r="AB57" s="92">
        <f t="shared" si="29"/>
        <v>355672.77675814874</v>
      </c>
      <c r="AC57" s="211">
        <f t="shared" si="30"/>
        <v>5.0571110584107792E-2</v>
      </c>
      <c r="AD57" s="93">
        <f t="shared" si="23"/>
        <v>1.0283106055765752</v>
      </c>
      <c r="AF57" s="92">
        <f t="shared" si="31"/>
        <v>-983</v>
      </c>
      <c r="AG57" s="92">
        <f t="shared" si="32"/>
        <v>1162.7767581487269</v>
      </c>
      <c r="AH57" s="92">
        <f t="shared" si="24"/>
        <v>179.77675814872691</v>
      </c>
      <c r="AJ57" s="130">
        <v>6.6199999999999992</v>
      </c>
      <c r="AK57" s="86">
        <v>6.81</v>
      </c>
      <c r="AL57" s="86">
        <v>13.65</v>
      </c>
    </row>
    <row r="58" spans="1:38" x14ac:dyDescent="0.3">
      <c r="A58" s="133">
        <f t="shared" si="14"/>
        <v>56</v>
      </c>
      <c r="B58" s="90">
        <v>44888</v>
      </c>
      <c r="C58" s="90">
        <f t="shared" si="15"/>
        <v>45519</v>
      </c>
      <c r="D58" s="91">
        <f>NETWORKDAYS(B58,C58-1,Feriados!$A$2:$A$2000)</f>
        <v>434</v>
      </c>
      <c r="E58" s="130">
        <v>6.99</v>
      </c>
      <c r="F58" s="92">
        <f t="shared" si="3"/>
        <v>0.1800000000000006</v>
      </c>
      <c r="G58" s="132">
        <f>TRUNC((100/(1+E58/100)^(D58/252)/100)*VLOOKUP(B58,'VNA e PRT'!B:C,2,FALSE),2)</f>
        <v>3536.52</v>
      </c>
      <c r="H58" s="92">
        <f t="shared" si="16"/>
        <v>353652</v>
      </c>
      <c r="I58" s="92">
        <f t="shared" si="28"/>
        <v>-0.24202420242024347</v>
      </c>
      <c r="J58" s="93">
        <f t="shared" si="17"/>
        <v>1.0109484251991028</v>
      </c>
      <c r="K58" s="90">
        <f t="shared" si="5"/>
        <v>45519</v>
      </c>
      <c r="L58" s="130">
        <v>6.99</v>
      </c>
      <c r="M58" s="92">
        <f t="shared" si="6"/>
        <v>0.1800000000000006</v>
      </c>
      <c r="N58" s="92">
        <f t="shared" si="25"/>
        <v>89015.27</v>
      </c>
      <c r="O58" s="86">
        <v>13.65</v>
      </c>
      <c r="P58" s="92">
        <f t="shared" si="18"/>
        <v>89276.68</v>
      </c>
      <c r="Q58" s="94">
        <f t="shared" si="19"/>
        <v>-419.13224834667648</v>
      </c>
      <c r="R58" s="92">
        <f>VLOOKUP(B58,'VNA e PRT'!B:G,6,FALSE)</f>
        <v>6414.7793962437836</v>
      </c>
      <c r="S58" s="239">
        <f>VLOOKUP(B58,'VNA e PRT'!B:G,3,FALSE)</f>
        <v>0.45</v>
      </c>
      <c r="T58" s="92">
        <f t="shared" si="7"/>
        <v>142753.32998676936</v>
      </c>
      <c r="U58" s="141">
        <f t="shared" si="8"/>
        <v>2.477364276075221</v>
      </c>
      <c r="V58" s="134">
        <f t="shared" si="20"/>
        <v>353654.96707407763</v>
      </c>
      <c r="W58" s="134">
        <f t="shared" si="21"/>
        <v>-0.24210460623440566</v>
      </c>
      <c r="X58" s="135">
        <f t="shared" si="22"/>
        <v>1.0109569068671425</v>
      </c>
      <c r="Y58" s="99">
        <f t="shared" si="26"/>
        <v>0</v>
      </c>
      <c r="Z58" s="97">
        <f t="shared" si="9"/>
        <v>0</v>
      </c>
      <c r="AA58" s="92">
        <f t="shared" si="27"/>
        <v>353652</v>
      </c>
      <c r="AB58" s="92">
        <f t="shared" si="29"/>
        <v>354690.34325900517</v>
      </c>
      <c r="AC58" s="211">
        <f t="shared" si="30"/>
        <v>5.0871134525176664E-2</v>
      </c>
      <c r="AD58" s="93">
        <f t="shared" si="23"/>
        <v>1.0288337188480747</v>
      </c>
      <c r="AF58" s="92">
        <f t="shared" si="31"/>
        <v>-858</v>
      </c>
      <c r="AG58" s="92">
        <f t="shared" si="32"/>
        <v>1038.3432590051439</v>
      </c>
      <c r="AH58" s="92">
        <f t="shared" si="24"/>
        <v>180.34325900514386</v>
      </c>
      <c r="AJ58" s="130">
        <v>6.88</v>
      </c>
      <c r="AK58" s="86">
        <v>6.99</v>
      </c>
      <c r="AL58" s="86">
        <v>13.65</v>
      </c>
    </row>
    <row r="59" spans="1:38" x14ac:dyDescent="0.3">
      <c r="A59" s="133">
        <f t="shared" si="14"/>
        <v>57</v>
      </c>
      <c r="B59" s="90">
        <v>44889</v>
      </c>
      <c r="C59" s="90">
        <f t="shared" si="15"/>
        <v>45519</v>
      </c>
      <c r="D59" s="91">
        <f>NETWORKDAYS(B59,C59-1,Feriados!$A$2:$A$2000)</f>
        <v>433</v>
      </c>
      <c r="E59" s="130">
        <v>6.92</v>
      </c>
      <c r="F59" s="92">
        <f t="shared" si="3"/>
        <v>-7.0000000000000284E-2</v>
      </c>
      <c r="G59" s="132">
        <f>TRUNC((100/(1+E59/100)^(D59/252)/100)*VLOOKUP(B59,'VNA e PRT'!B:C,2,FALSE),2)</f>
        <v>3542.2</v>
      </c>
      <c r="H59" s="92">
        <f t="shared" si="16"/>
        <v>354220</v>
      </c>
      <c r="I59" s="92">
        <f t="shared" si="28"/>
        <v>0.16060986506509778</v>
      </c>
      <c r="J59" s="93">
        <f t="shared" si="17"/>
        <v>1.0125721081006929</v>
      </c>
      <c r="K59" s="90">
        <f t="shared" si="5"/>
        <v>45519</v>
      </c>
      <c r="L59" s="130">
        <v>6.92</v>
      </c>
      <c r="M59" s="92">
        <f t="shared" si="6"/>
        <v>-7.0000000000000284E-2</v>
      </c>
      <c r="N59" s="92">
        <f t="shared" si="25"/>
        <v>89139.33</v>
      </c>
      <c r="O59" s="86">
        <v>13.65</v>
      </c>
      <c r="P59" s="92">
        <f t="shared" si="18"/>
        <v>89041.44</v>
      </c>
      <c r="Q59" s="94">
        <f t="shared" si="19"/>
        <v>156.98568877457507</v>
      </c>
      <c r="R59" s="92">
        <f>VLOOKUP(B59,'VNA e PRT'!B:G,6,FALSE)</f>
        <v>6416.1510537218501</v>
      </c>
      <c r="S59" s="239">
        <f>VLOOKUP(B59,'VNA e PRT'!B:G,3,FALSE)</f>
        <v>0.45</v>
      </c>
      <c r="T59" s="92">
        <f t="shared" si="7"/>
        <v>142982.85152688992</v>
      </c>
      <c r="U59" s="141">
        <f t="shared" si="8"/>
        <v>2.477360020571306</v>
      </c>
      <c r="V59" s="134">
        <f t="shared" si="20"/>
        <v>354223.49155993311</v>
      </c>
      <c r="W59" s="134">
        <f t="shared" si="21"/>
        <v>0.16075682198362085</v>
      </c>
      <c r="X59" s="135">
        <f t="shared" si="22"/>
        <v>1.0125820890622459</v>
      </c>
      <c r="Y59" s="99">
        <f t="shared" si="26"/>
        <v>0</v>
      </c>
      <c r="Z59" s="97">
        <f t="shared" si="9"/>
        <v>0</v>
      </c>
      <c r="AA59" s="92">
        <f t="shared" si="27"/>
        <v>354220</v>
      </c>
      <c r="AB59" s="92">
        <f t="shared" si="29"/>
        <v>353831.08993082802</v>
      </c>
      <c r="AC59" s="211">
        <f t="shared" si="30"/>
        <v>5.0640157790149409E-2</v>
      </c>
      <c r="AD59" s="93">
        <f t="shared" si="23"/>
        <v>1.0293547218666976</v>
      </c>
      <c r="AF59" s="92">
        <f t="shared" si="31"/>
        <v>568</v>
      </c>
      <c r="AG59" s="92">
        <f t="shared" si="32"/>
        <v>-388.91006917198195</v>
      </c>
      <c r="AH59" s="92">
        <f t="shared" si="24"/>
        <v>179.08993082801805</v>
      </c>
      <c r="AJ59" s="130">
        <v>6.9</v>
      </c>
      <c r="AK59" s="86">
        <v>6.92</v>
      </c>
      <c r="AL59" s="86">
        <v>13.65</v>
      </c>
    </row>
    <row r="60" spans="1:38" x14ac:dyDescent="0.3">
      <c r="A60" s="133">
        <f t="shared" si="14"/>
        <v>58</v>
      </c>
      <c r="B60" s="90">
        <v>44890</v>
      </c>
      <c r="C60" s="90">
        <f t="shared" si="15"/>
        <v>45519</v>
      </c>
      <c r="D60" s="91">
        <f>NETWORKDAYS(B60,C60-1,Feriados!$A$2:$A$2000)</f>
        <v>432</v>
      </c>
      <c r="E60" s="130">
        <v>7.16</v>
      </c>
      <c r="F60" s="92">
        <f t="shared" si="3"/>
        <v>0.24000000000000021</v>
      </c>
      <c r="G60" s="132">
        <f>TRUNC((100/(1+E60/100)^(D60/252)/100)*VLOOKUP(B60,'VNA e PRT'!B:C,2,FALSE),2)</f>
        <v>3531.48</v>
      </c>
      <c r="H60" s="92">
        <f t="shared" si="16"/>
        <v>353148</v>
      </c>
      <c r="I60" s="92">
        <f t="shared" si="28"/>
        <v>-0.30263677940262079</v>
      </c>
      <c r="J60" s="93">
        <f t="shared" si="17"/>
        <v>1.0095076924836077</v>
      </c>
      <c r="K60" s="90">
        <f t="shared" si="5"/>
        <v>45519</v>
      </c>
      <c r="L60" s="130">
        <v>7.16</v>
      </c>
      <c r="M60" s="92">
        <f t="shared" si="6"/>
        <v>0.24000000000000021</v>
      </c>
      <c r="N60" s="92">
        <f t="shared" si="25"/>
        <v>88820.94</v>
      </c>
      <c r="O60" s="86">
        <v>13.65</v>
      </c>
      <c r="P60" s="92">
        <f t="shared" si="18"/>
        <v>89135.97</v>
      </c>
      <c r="Q60" s="94">
        <f t="shared" si="19"/>
        <v>-505.32001661349676</v>
      </c>
      <c r="R60" s="92">
        <f>VLOOKUP(B60,'VNA e PRT'!B:G,6,FALSE)</f>
        <v>6419.6518913385507</v>
      </c>
      <c r="S60" s="239">
        <f>VLOOKUP(B60,'VNA e PRT'!B:G,3,FALSE)</f>
        <v>0.55000000000000004</v>
      </c>
      <c r="T60" s="92">
        <f t="shared" si="7"/>
        <v>142549.87886536701</v>
      </c>
      <c r="U60" s="141">
        <f t="shared" si="8"/>
        <v>2.477364434195942</v>
      </c>
      <c r="V60" s="134">
        <f t="shared" si="20"/>
        <v>353151.5328819991</v>
      </c>
      <c r="W60" s="134">
        <f t="shared" si="21"/>
        <v>-0.30262213079469413</v>
      </c>
      <c r="X60" s="135">
        <f t="shared" si="22"/>
        <v>1.0095177915682803</v>
      </c>
      <c r="Y60" s="99">
        <f t="shared" si="26"/>
        <v>0</v>
      </c>
      <c r="Z60" s="97">
        <f t="shared" si="9"/>
        <v>0</v>
      </c>
      <c r="AA60" s="92">
        <f t="shared" si="27"/>
        <v>353148</v>
      </c>
      <c r="AB60" s="92">
        <f t="shared" si="29"/>
        <v>354399.86183704558</v>
      </c>
      <c r="AC60" s="211">
        <f t="shared" si="30"/>
        <v>5.0776872295621445E-2</v>
      </c>
      <c r="AD60" s="93">
        <f t="shared" si="23"/>
        <v>1.0298773959992888</v>
      </c>
      <c r="AF60" s="92">
        <f t="shared" si="31"/>
        <v>-1072</v>
      </c>
      <c r="AG60" s="92">
        <f t="shared" si="32"/>
        <v>1251.8618370455795</v>
      </c>
      <c r="AH60" s="92">
        <f t="shared" si="24"/>
        <v>179.86183704557948</v>
      </c>
      <c r="AJ60" s="130">
        <v>6.9599999999999991</v>
      </c>
      <c r="AK60" s="86">
        <v>7.16</v>
      </c>
      <c r="AL60" s="86">
        <v>13.65</v>
      </c>
    </row>
    <row r="61" spans="1:38" x14ac:dyDescent="0.3">
      <c r="A61" s="133">
        <f t="shared" si="14"/>
        <v>59</v>
      </c>
      <c r="B61" s="90">
        <v>44893</v>
      </c>
      <c r="C61" s="90">
        <f t="shared" si="15"/>
        <v>45519</v>
      </c>
      <c r="D61" s="91">
        <f>NETWORKDAYS(B61,C61-1,Feriados!$A$2:$A$2000)</f>
        <v>431</v>
      </c>
      <c r="E61" s="130">
        <v>7.12</v>
      </c>
      <c r="F61" s="92">
        <f t="shared" si="3"/>
        <v>-4.0000000000000036E-2</v>
      </c>
      <c r="G61" s="132">
        <f>TRUNC((100/(1+E61/100)^(D61/252)/100)*VLOOKUP(B61,'VNA e PRT'!B:C,2,FALSE),2)</f>
        <v>3535.62</v>
      </c>
      <c r="H61" s="92">
        <f t="shared" si="16"/>
        <v>353562</v>
      </c>
      <c r="I61" s="92">
        <f t="shared" si="28"/>
        <v>0.11723130245675506</v>
      </c>
      <c r="J61" s="93">
        <f t="shared" si="17"/>
        <v>1.0106911514999073</v>
      </c>
      <c r="K61" s="90">
        <f t="shared" si="5"/>
        <v>45519</v>
      </c>
      <c r="L61" s="130">
        <v>7.12</v>
      </c>
      <c r="M61" s="92">
        <f t="shared" si="6"/>
        <v>-4.0000000000000036E-2</v>
      </c>
      <c r="N61" s="92">
        <f t="shared" si="25"/>
        <v>88902.07</v>
      </c>
      <c r="O61" s="86">
        <v>13.65</v>
      </c>
      <c r="P61" s="92">
        <f t="shared" si="18"/>
        <v>88842.84</v>
      </c>
      <c r="Q61" s="94">
        <f t="shared" si="19"/>
        <v>95.058995381012409</v>
      </c>
      <c r="R61" s="92">
        <f>VLOOKUP(B61,'VNA e PRT'!B:G,6,FALSE)</f>
        <v>6421.3288409519209</v>
      </c>
      <c r="S61" s="239">
        <f>VLOOKUP(B61,'VNA e PRT'!B:G,3,FALSE)</f>
        <v>0.55000000000000004</v>
      </c>
      <c r="T61" s="92">
        <f t="shared" si="7"/>
        <v>142717.35652783164</v>
      </c>
      <c r="U61" s="141">
        <f t="shared" si="8"/>
        <v>2.4773581055717711</v>
      </c>
      <c r="V61" s="134">
        <f t="shared" si="20"/>
        <v>353566.38678705186</v>
      </c>
      <c r="W61" s="134">
        <f t="shared" si="21"/>
        <v>0.11747192534241613</v>
      </c>
      <c r="X61" s="135">
        <f t="shared" si="22"/>
        <v>1.0107036915547098</v>
      </c>
      <c r="Y61" s="99">
        <f t="shared" si="26"/>
        <v>0</v>
      </c>
      <c r="Z61" s="97">
        <f t="shared" si="9"/>
        <v>0</v>
      </c>
      <c r="AA61" s="92">
        <f t="shared" si="27"/>
        <v>353562</v>
      </c>
      <c r="AB61" s="92">
        <f t="shared" si="29"/>
        <v>353326.50482728536</v>
      </c>
      <c r="AC61" s="211">
        <f t="shared" si="30"/>
        <v>5.0546747336910336E-2</v>
      </c>
      <c r="AD61" s="93">
        <f t="shared" si="23"/>
        <v>1.0303979655245246</v>
      </c>
      <c r="AF61" s="92">
        <f t="shared" si="31"/>
        <v>414</v>
      </c>
      <c r="AG61" s="92">
        <f t="shared" si="32"/>
        <v>-235.49517271466064</v>
      </c>
      <c r="AH61" s="92">
        <f t="shared" si="24"/>
        <v>178.50482728533936</v>
      </c>
      <c r="AJ61" s="130">
        <v>7.1</v>
      </c>
      <c r="AK61" s="86">
        <v>7.12</v>
      </c>
      <c r="AL61" s="86">
        <v>13.65</v>
      </c>
    </row>
    <row r="62" spans="1:38" x14ac:dyDescent="0.3">
      <c r="A62" s="133">
        <f t="shared" si="14"/>
        <v>60</v>
      </c>
      <c r="B62" s="90">
        <v>44894</v>
      </c>
      <c r="C62" s="90">
        <f t="shared" si="15"/>
        <v>45519</v>
      </c>
      <c r="D62" s="91">
        <f>NETWORKDAYS(B62,C62-1,Feriados!$A$2:$A$2000)</f>
        <v>430</v>
      </c>
      <c r="E62" s="130">
        <v>6.92</v>
      </c>
      <c r="F62" s="92">
        <f t="shared" ref="F62:F65" si="33">+E62-E61</f>
        <v>-0.20000000000000018</v>
      </c>
      <c r="G62" s="132">
        <f>TRUNC((100/(1+E62/100)^(D62/252)/100)*VLOOKUP(B62,'VNA e PRT'!B:C,2,FALSE),2)</f>
        <v>3548.81</v>
      </c>
      <c r="H62" s="92">
        <f t="shared" si="16"/>
        <v>354881</v>
      </c>
      <c r="I62" s="92">
        <f t="shared" si="28"/>
        <v>0.37306045332925475</v>
      </c>
      <c r="J62" s="93">
        <f t="shared" si="17"/>
        <v>1.0144616404914515</v>
      </c>
      <c r="K62" s="90">
        <f t="shared" ref="K62:K65" si="34">+K61</f>
        <v>45519</v>
      </c>
      <c r="L62" s="130">
        <v>6.92</v>
      </c>
      <c r="M62" s="92">
        <f t="shared" si="6"/>
        <v>-0.20000000000000018</v>
      </c>
      <c r="N62" s="92">
        <f t="shared" si="25"/>
        <v>89210.36</v>
      </c>
      <c r="O62" s="86">
        <v>13.65</v>
      </c>
      <c r="P62" s="92">
        <f t="shared" si="18"/>
        <v>88923.99</v>
      </c>
      <c r="Q62" s="94">
        <f t="shared" si="19"/>
        <v>459.71898504584294</v>
      </c>
      <c r="R62" s="92">
        <f>VLOOKUP(B62,'VNA e PRT'!B:G,6,FALSE)</f>
        <v>6423.0062281270039</v>
      </c>
      <c r="S62" s="239">
        <f>VLOOKUP(B62,'VNA e PRT'!B:G,3,FALSE)</f>
        <v>0.55000000000000004</v>
      </c>
      <c r="T62" s="92">
        <f t="shared" si="7"/>
        <v>143249.67447336306</v>
      </c>
      <c r="U62" s="141">
        <f t="shared" si="8"/>
        <v>2.4773599053866562</v>
      </c>
      <c r="V62" s="134">
        <f t="shared" si="20"/>
        <v>354884.84559684375</v>
      </c>
      <c r="W62" s="134">
        <f t="shared" si="21"/>
        <v>0.37290275859451771</v>
      </c>
      <c r="X62" s="135">
        <f t="shared" si="22"/>
        <v>1.014472633501734</v>
      </c>
      <c r="Y62" s="99">
        <f t="shared" si="26"/>
        <v>0</v>
      </c>
      <c r="Z62" s="97">
        <f t="shared" si="9"/>
        <v>0</v>
      </c>
      <c r="AA62" s="92">
        <f t="shared" si="27"/>
        <v>354881</v>
      </c>
      <c r="AB62" s="92">
        <f t="shared" si="29"/>
        <v>353742.11061870237</v>
      </c>
      <c r="AC62" s="211">
        <f t="shared" si="30"/>
        <v>5.0941735453013948E-2</v>
      </c>
      <c r="AD62" s="93">
        <f t="shared" si="23"/>
        <v>1.0309228681302354</v>
      </c>
      <c r="AF62" s="92">
        <f t="shared" si="31"/>
        <v>1319</v>
      </c>
      <c r="AG62" s="92">
        <f t="shared" si="32"/>
        <v>-1138.8893812976191</v>
      </c>
      <c r="AH62" s="92">
        <f t="shared" si="24"/>
        <v>180.11061870238086</v>
      </c>
      <c r="AJ62" s="130">
        <v>7.1</v>
      </c>
      <c r="AK62" s="86">
        <v>6.92</v>
      </c>
      <c r="AL62" s="86">
        <v>13.65</v>
      </c>
    </row>
    <row r="63" spans="1:38" x14ac:dyDescent="0.3">
      <c r="A63" s="133">
        <f t="shared" si="14"/>
        <v>61</v>
      </c>
      <c r="B63" s="90">
        <v>44895</v>
      </c>
      <c r="C63" s="90">
        <f t="shared" si="15"/>
        <v>45519</v>
      </c>
      <c r="D63" s="91">
        <f>NETWORKDAYS(B63,C63-1,Feriados!$A$2:$A$2000)</f>
        <v>429</v>
      </c>
      <c r="E63" s="130">
        <v>6.75</v>
      </c>
      <c r="F63" s="92">
        <f t="shared" si="33"/>
        <v>-0.16999999999999993</v>
      </c>
      <c r="G63" s="132">
        <f>TRUNC((100/(1+E63/100)^(D63/252)/100)*VLOOKUP(B63,'VNA e PRT'!B:C,2,FALSE),2)</f>
        <v>3560.31</v>
      </c>
      <c r="H63" s="92">
        <f t="shared" si="16"/>
        <v>356031</v>
      </c>
      <c r="I63" s="92">
        <f t="shared" si="28"/>
        <v>0.32405228795004959</v>
      </c>
      <c r="J63" s="93">
        <f t="shared" si="17"/>
        <v>1.0177490266478397</v>
      </c>
      <c r="K63" s="90">
        <f t="shared" si="34"/>
        <v>45519</v>
      </c>
      <c r="L63" s="130">
        <v>6.75</v>
      </c>
      <c r="M63" s="92">
        <f t="shared" si="6"/>
        <v>-0.16999999999999993</v>
      </c>
      <c r="N63" s="92">
        <f t="shared" si="25"/>
        <v>89476.1</v>
      </c>
      <c r="O63" s="86">
        <v>13.65</v>
      </c>
      <c r="P63" s="92">
        <f t="shared" si="18"/>
        <v>89232.36</v>
      </c>
      <c r="Q63" s="94">
        <f t="shared" si="19"/>
        <v>391.38588451092738</v>
      </c>
      <c r="R63" s="92">
        <f>VLOOKUP(B63,'VNA e PRT'!B:G,6,FALSE)</f>
        <v>6424.6840544784181</v>
      </c>
      <c r="S63" s="239">
        <f>VLOOKUP(B63,'VNA e PRT'!B:G,3,FALSE)</f>
        <v>0.55000000000000004</v>
      </c>
      <c r="T63" s="92">
        <f t="shared" si="7"/>
        <v>143713.9182317291</v>
      </c>
      <c r="U63" s="141">
        <f t="shared" si="8"/>
        <v>2.4773592173996941</v>
      </c>
      <c r="V63" s="134">
        <f t="shared" si="20"/>
        <v>356034.68807324371</v>
      </c>
      <c r="W63" s="134">
        <f t="shared" si="21"/>
        <v>0.32400438921706964</v>
      </c>
      <c r="X63" s="135">
        <f t="shared" si="22"/>
        <v>1.0177595693616857</v>
      </c>
      <c r="Y63" s="99">
        <f t="shared" si="26"/>
        <v>0</v>
      </c>
      <c r="Z63" s="97">
        <f t="shared" si="9"/>
        <v>0</v>
      </c>
      <c r="AA63" s="92">
        <f t="shared" si="27"/>
        <v>356031</v>
      </c>
      <c r="AB63" s="92">
        <f t="shared" si="29"/>
        <v>355061.39657144673</v>
      </c>
      <c r="AC63" s="211">
        <f t="shared" si="30"/>
        <v>5.083297540491305E-2</v>
      </c>
      <c r="AD63" s="93">
        <f t="shared" si="23"/>
        <v>1.0314469168982356</v>
      </c>
      <c r="AF63" s="92">
        <f t="shared" si="31"/>
        <v>1150</v>
      </c>
      <c r="AG63" s="92">
        <f t="shared" si="32"/>
        <v>-969.60342855327815</v>
      </c>
      <c r="AH63" s="92">
        <f t="shared" si="24"/>
        <v>180.39657144672185</v>
      </c>
      <c r="AJ63" s="130">
        <v>6.9500000000000011</v>
      </c>
      <c r="AK63" s="86">
        <v>6.75</v>
      </c>
      <c r="AL63" s="86">
        <v>13.65</v>
      </c>
    </row>
    <row r="64" spans="1:38" x14ac:dyDescent="0.3">
      <c r="A64" s="133">
        <f t="shared" si="14"/>
        <v>62</v>
      </c>
      <c r="B64" s="90">
        <v>44896</v>
      </c>
      <c r="C64" s="90">
        <f t="shared" si="15"/>
        <v>45519</v>
      </c>
      <c r="D64" s="91">
        <f>NETWORKDAYS(B64,C64-1,Feriados!$A$2:$A$2000)</f>
        <v>428</v>
      </c>
      <c r="E64" s="130">
        <v>6.82</v>
      </c>
      <c r="F64" s="92">
        <f t="shared" si="33"/>
        <v>7.0000000000000284E-2</v>
      </c>
      <c r="G64" s="132">
        <f>TRUNC((100/(1+E64/100)^(D64/252)/100)*VLOOKUP(B64,'VNA e PRT'!B:C,2,FALSE),2)</f>
        <v>3558.2</v>
      </c>
      <c r="H64" s="92">
        <f t="shared" si="16"/>
        <v>355820</v>
      </c>
      <c r="I64" s="92">
        <f t="shared" si="28"/>
        <v>-5.926450224840174E-2</v>
      </c>
      <c r="J64" s="93">
        <f t="shared" si="17"/>
        <v>1.017145862753059</v>
      </c>
      <c r="K64" s="90">
        <f t="shared" si="34"/>
        <v>45519</v>
      </c>
      <c r="L64" s="130">
        <v>6.82</v>
      </c>
      <c r="M64" s="92">
        <f t="shared" si="6"/>
        <v>7.0000000000000284E-2</v>
      </c>
      <c r="N64" s="92">
        <f t="shared" si="25"/>
        <v>89399.71</v>
      </c>
      <c r="O64" s="86">
        <v>13.65</v>
      </c>
      <c r="P64" s="92">
        <f t="shared" si="18"/>
        <v>89498.16</v>
      </c>
      <c r="Q64" s="94">
        <f t="shared" si="19"/>
        <v>-158.1275362908454</v>
      </c>
      <c r="R64" s="92">
        <f>VLOOKUP(B64,'VNA e PRT'!B:G,6,FALSE)</f>
        <v>6426.362318391547</v>
      </c>
      <c r="S64" s="239">
        <f>VLOOKUP(B64,'VNA e PRT'!B:G,3,FALSE)</f>
        <v>0.55000000000000004</v>
      </c>
      <c r="T64" s="92">
        <f t="shared" si="7"/>
        <v>143628.73190478302</v>
      </c>
      <c r="U64" s="141">
        <f t="shared" si="8"/>
        <v>2.4773594759291386</v>
      </c>
      <c r="V64" s="134">
        <f t="shared" si="20"/>
        <v>355823.77235308103</v>
      </c>
      <c r="W64" s="134">
        <f t="shared" si="21"/>
        <v>-5.9240216537348456E-2</v>
      </c>
      <c r="X64" s="135">
        <f t="shared" si="22"/>
        <v>1.0171566463889663</v>
      </c>
      <c r="Y64" s="99">
        <f t="shared" si="26"/>
        <v>0</v>
      </c>
      <c r="Z64" s="97">
        <f t="shared" si="9"/>
        <v>0</v>
      </c>
      <c r="AA64" s="92">
        <f t="shared" si="27"/>
        <v>355820</v>
      </c>
      <c r="AB64" s="92">
        <f t="shared" si="29"/>
        <v>356211.73875043547</v>
      </c>
      <c r="AC64" s="211">
        <f t="shared" si="30"/>
        <v>5.076489138178264E-2</v>
      </c>
      <c r="AD64" s="93">
        <f t="shared" si="23"/>
        <v>1.0319705298052597</v>
      </c>
      <c r="AF64" s="92">
        <f t="shared" si="31"/>
        <v>-211</v>
      </c>
      <c r="AG64" s="92">
        <f t="shared" si="32"/>
        <v>391.73875043545462</v>
      </c>
      <c r="AH64" s="92">
        <f t="shared" si="24"/>
        <v>180.73875043545462</v>
      </c>
      <c r="AJ64" s="130">
        <v>6.88</v>
      </c>
      <c r="AK64" s="86">
        <v>6.82</v>
      </c>
      <c r="AL64" s="86">
        <v>13.65</v>
      </c>
    </row>
    <row r="65" spans="1:38" x14ac:dyDescent="0.3">
      <c r="A65" s="133">
        <f t="shared" si="14"/>
        <v>63</v>
      </c>
      <c r="B65" s="90">
        <v>44897</v>
      </c>
      <c r="C65" s="90">
        <f t="shared" si="15"/>
        <v>45519</v>
      </c>
      <c r="D65" s="91">
        <f>NETWORKDAYS(B65,C65-1,Feriados!$A$2:$A$2000)</f>
        <v>427</v>
      </c>
      <c r="E65" s="130">
        <v>6.67</v>
      </c>
      <c r="F65" s="92">
        <f t="shared" si="33"/>
        <v>-0.15000000000000036</v>
      </c>
      <c r="G65" s="132">
        <f>TRUNC((100/(1+E65/100)^(D65/252)/100)*VLOOKUP(B65,'VNA e PRT'!B:C,2,FALSE),2)</f>
        <v>3568.55</v>
      </c>
      <c r="H65" s="92">
        <f t="shared" si="16"/>
        <v>356855</v>
      </c>
      <c r="I65" s="92">
        <f t="shared" si="28"/>
        <v>0.29087740992637112</v>
      </c>
      <c r="J65" s="93">
        <f t="shared" si="17"/>
        <v>1.0201045102938082</v>
      </c>
      <c r="K65" s="90">
        <f t="shared" si="34"/>
        <v>45519</v>
      </c>
      <c r="L65" s="130">
        <v>6.67</v>
      </c>
      <c r="M65" s="92">
        <f t="shared" si="6"/>
        <v>-0.15000000000000036</v>
      </c>
      <c r="N65" s="92">
        <f t="shared" si="25"/>
        <v>89636.29</v>
      </c>
      <c r="O65" s="86">
        <v>13.65</v>
      </c>
      <c r="P65" s="92">
        <f t="shared" si="18"/>
        <v>89421.759999999995</v>
      </c>
      <c r="Q65" s="94">
        <f t="shared" si="19"/>
        <v>344.66187704113275</v>
      </c>
      <c r="R65" s="92">
        <f>VLOOKUP(B65,'VNA e PRT'!B:G,6,FALSE)</f>
        <v>6428.0410214810072</v>
      </c>
      <c r="S65" s="239">
        <f>VLOOKUP(B65,'VNA e PRT'!B:G,3,FALSE)</f>
        <v>0.55000000000000004</v>
      </c>
      <c r="T65" s="92">
        <f t="shared" si="7"/>
        <v>144046.43728334195</v>
      </c>
      <c r="U65" s="141">
        <f t="shared" si="8"/>
        <v>2.4773608200948405</v>
      </c>
      <c r="V65" s="134">
        <f t="shared" si="20"/>
        <v>356858.34009376122</v>
      </c>
      <c r="W65" s="134">
        <f t="shared" si="21"/>
        <v>0.29075284482498187</v>
      </c>
      <c r="X65" s="135">
        <f t="shared" si="22"/>
        <v>1.0201140582746686</v>
      </c>
      <c r="Y65" s="99">
        <f t="shared" si="26"/>
        <v>0</v>
      </c>
      <c r="Z65" s="97">
        <f t="shared" si="9"/>
        <v>0</v>
      </c>
      <c r="AA65" s="92">
        <f t="shared" si="27"/>
        <v>356855</v>
      </c>
      <c r="AB65" s="92">
        <f t="shared" si="29"/>
        <v>356001.14816963795</v>
      </c>
      <c r="AC65" s="211">
        <f t="shared" si="30"/>
        <v>5.0910058354780574E-2</v>
      </c>
      <c r="AD65" s="93">
        <f t="shared" si="23"/>
        <v>1.0324959066041877</v>
      </c>
      <c r="AF65" s="92">
        <f t="shared" si="31"/>
        <v>1035</v>
      </c>
      <c r="AG65" s="92">
        <f t="shared" si="32"/>
        <v>-853.85183036204774</v>
      </c>
      <c r="AH65" s="92">
        <f t="shared" si="24"/>
        <v>181.14816963795226</v>
      </c>
      <c r="AJ65" s="130">
        <v>6.78</v>
      </c>
      <c r="AK65" s="86">
        <v>6.67</v>
      </c>
      <c r="AL65" s="86">
        <v>13.65</v>
      </c>
    </row>
    <row r="66" spans="1:38" x14ac:dyDescent="0.3">
      <c r="B66" s="83"/>
      <c r="AA66" s="68"/>
      <c r="AF66" s="219">
        <f>SUM(AF3:AF65)</f>
        <v>7033</v>
      </c>
      <c r="AG66" s="219">
        <f>SUM(AG3:AG65)</f>
        <v>4271.1892298794173</v>
      </c>
      <c r="AH66" s="219">
        <f>SUM(AH3:AH65)</f>
        <v>11304.189229879414</v>
      </c>
    </row>
    <row r="67" spans="1:38" ht="18" x14ac:dyDescent="0.35">
      <c r="B67" s="83"/>
      <c r="E67" s="209">
        <f>+E65-E2</f>
        <v>3.0000000000000249E-2</v>
      </c>
      <c r="G67" s="88">
        <f>+G65/G2-1</f>
        <v>2.0104510293806666E-2</v>
      </c>
      <c r="H67" s="221" t="s">
        <v>366</v>
      </c>
      <c r="I67" s="85"/>
      <c r="J67" s="88">
        <f>+J65-1</f>
        <v>2.010451029380822E-2</v>
      </c>
      <c r="K67" s="221" t="s">
        <v>366</v>
      </c>
      <c r="L67" s="209">
        <f>+L65-L2</f>
        <v>3.0000000000000249E-2</v>
      </c>
      <c r="O67" s="88">
        <f>((1+O65/100)^(A65/252))-1</f>
        <v>3.2505467333838078E-2</v>
      </c>
      <c r="R67" s="88">
        <f>+R65/R2-1</f>
        <v>4.3193732527522233E-3</v>
      </c>
      <c r="S67" s="240">
        <f>AVERAGE(S2:S65)</f>
        <v>9.3125000000000013E-2</v>
      </c>
      <c r="T67" s="221" t="s">
        <v>366</v>
      </c>
      <c r="X67" s="88">
        <f>+X65-1</f>
        <v>2.0114058274668611E-2</v>
      </c>
      <c r="Y67" s="204">
        <f>AVERAGE(Y2:Y65)</f>
        <v>0</v>
      </c>
      <c r="AC67" s="100">
        <f>+Y2-Y65</f>
        <v>0</v>
      </c>
      <c r="AD67" s="88">
        <f>+AD65-1</f>
        <v>3.2495906604187663E-2</v>
      </c>
      <c r="AH67" s="88">
        <f>+AH66/AA2</f>
        <v>3.231411755086705E-2</v>
      </c>
    </row>
    <row r="68" spans="1:38" ht="18" x14ac:dyDescent="0.35">
      <c r="B68" s="83"/>
      <c r="G68" s="202">
        <f>+G67*100</f>
        <v>2.0104510293806666</v>
      </c>
      <c r="H68" s="220">
        <f>+G68/O68*100</f>
        <v>61.849626979144958</v>
      </c>
      <c r="J68" s="202">
        <f>+J67*100</f>
        <v>2.010451029380822</v>
      </c>
      <c r="K68" s="220">
        <f>+J68/O68*100</f>
        <v>61.849626979149733</v>
      </c>
      <c r="O68" s="224">
        <f>+O67*100</f>
        <v>3.2505467333838078</v>
      </c>
      <c r="R68" s="202">
        <f>+R67*100</f>
        <v>0.43193732527522233</v>
      </c>
      <c r="T68" s="220">
        <f>+R68/O68*100</f>
        <v>13.288143832516971</v>
      </c>
      <c r="X68" s="88">
        <f>+X67*100</f>
        <v>2.0114058274668611</v>
      </c>
      <c r="AD68" s="88">
        <f>+AD67*100</f>
        <v>3.2495906604187663</v>
      </c>
      <c r="AH68" s="88">
        <f>+AH67*100</f>
        <v>3.2314117550867048</v>
      </c>
    </row>
    <row r="69" spans="1:38" x14ac:dyDescent="0.3">
      <c r="B69" s="83"/>
      <c r="X69" s="98">
        <f>+J68-X68</f>
        <v>-9.5479808603915473E-4</v>
      </c>
      <c r="AD69" s="98">
        <f>+AD68-AD73</f>
        <v>-9.5607296504152117E-4</v>
      </c>
    </row>
    <row r="70" spans="1:38" x14ac:dyDescent="0.3">
      <c r="B70" s="83"/>
      <c r="G70" s="139" t="s">
        <v>352</v>
      </c>
      <c r="J70" s="139" t="s">
        <v>352</v>
      </c>
      <c r="O70" s="139" t="s">
        <v>352</v>
      </c>
      <c r="R70" s="139" t="s">
        <v>352</v>
      </c>
      <c r="S70" s="139"/>
      <c r="X70" s="139" t="s">
        <v>352</v>
      </c>
      <c r="AD70" s="139" t="s">
        <v>352</v>
      </c>
    </row>
    <row r="71" spans="1:38" ht="18" x14ac:dyDescent="0.3">
      <c r="B71" s="83"/>
      <c r="G71" s="203">
        <f>+((1+G67)^(252/A65)-1)*100</f>
        <v>8.2875856826136527</v>
      </c>
      <c r="J71" s="203">
        <f>+((J65)^(252/A65)-1)*100</f>
        <v>8.2875856826143401</v>
      </c>
      <c r="O71" s="203">
        <f>+((1+O67)^(252/A65)-1)*100</f>
        <v>13.649999999999984</v>
      </c>
      <c r="P71" s="205"/>
      <c r="R71" s="203">
        <f>+((1+R67)^(252/$A$65)-1)*100</f>
        <v>1.7389757616804724</v>
      </c>
      <c r="S71" s="139"/>
      <c r="X71" s="203">
        <f>+((X65)^(252/A65)-1)*100</f>
        <v>8.2916399429424423</v>
      </c>
      <c r="Y71" s="222">
        <f>+G71-X71</f>
        <v>-4.0542603287896384E-3</v>
      </c>
      <c r="AD71" s="203">
        <f>+((AD65)^(252/A65)-1)*100</f>
        <v>13.645790581775596</v>
      </c>
      <c r="AE71" s="222">
        <f>+O71-AD71</f>
        <v>4.2094182243879175E-3</v>
      </c>
      <c r="AF71" s="222"/>
    </row>
    <row r="72" spans="1:38" x14ac:dyDescent="0.3">
      <c r="B72" s="83"/>
      <c r="S72" s="139"/>
    </row>
    <row r="73" spans="1:38" ht="18" x14ac:dyDescent="0.35">
      <c r="B73" s="83"/>
      <c r="AD73" s="88">
        <f>+O68</f>
        <v>3.2505467333838078</v>
      </c>
      <c r="AE73">
        <v>0.22090000000000001</v>
      </c>
    </row>
    <row r="74" spans="1:38" ht="18.600000000000001" thickBot="1" x14ac:dyDescent="0.4">
      <c r="B74" s="83"/>
      <c r="O74" s="88">
        <f>+((1+O67)/(1+R67))-1</f>
        <v>2.8064871426106031E-2</v>
      </c>
      <c r="W74" s="95" t="s">
        <v>371</v>
      </c>
      <c r="AB74" s="87" t="s">
        <v>370</v>
      </c>
      <c r="AD74" s="89">
        <f>+AD68/AD73</f>
        <v>0.99970587318274107</v>
      </c>
    </row>
    <row r="75" spans="1:38" ht="18.600000000000001" thickTop="1" x14ac:dyDescent="0.35">
      <c r="B75" s="83"/>
      <c r="O75" s="202">
        <f>+O74*100</f>
        <v>2.8064871426106031</v>
      </c>
      <c r="AB75" s="241" t="s">
        <v>369</v>
      </c>
    </row>
    <row r="76" spans="1:38" x14ac:dyDescent="0.3">
      <c r="B76" s="83"/>
    </row>
    <row r="77" spans="1:38" x14ac:dyDescent="0.3">
      <c r="B77" s="83"/>
      <c r="O77" s="139" t="s">
        <v>352</v>
      </c>
    </row>
    <row r="78" spans="1:38" ht="18" x14ac:dyDescent="0.3">
      <c r="B78" s="83"/>
      <c r="O78" s="203">
        <f>+((1+O74)^(252/A65)-1)*100</f>
        <v>11.707434785092218</v>
      </c>
    </row>
    <row r="79" spans="1:38" x14ac:dyDescent="0.3">
      <c r="B79" s="83"/>
    </row>
    <row r="80" spans="1:38" x14ac:dyDescent="0.3">
      <c r="B80" s="83"/>
    </row>
    <row r="81" spans="2:2" x14ac:dyDescent="0.3">
      <c r="B81" s="83"/>
    </row>
    <row r="82" spans="2:2" x14ac:dyDescent="0.3">
      <c r="B82" s="83"/>
    </row>
    <row r="83" spans="2:2" x14ac:dyDescent="0.3">
      <c r="B83" s="83"/>
    </row>
    <row r="84" spans="2:2" x14ac:dyDescent="0.3">
      <c r="B84" s="83"/>
    </row>
    <row r="85" spans="2:2" x14ac:dyDescent="0.3">
      <c r="B85" s="83"/>
    </row>
    <row r="86" spans="2:2" x14ac:dyDescent="0.3">
      <c r="B86" s="83"/>
    </row>
    <row r="87" spans="2:2" x14ac:dyDescent="0.3">
      <c r="B87" s="83"/>
    </row>
    <row r="88" spans="2:2" x14ac:dyDescent="0.3">
      <c r="B88" s="83"/>
    </row>
    <row r="89" spans="2:2" x14ac:dyDescent="0.3">
      <c r="B89" s="83"/>
    </row>
    <row r="90" spans="2:2" x14ac:dyDescent="0.3">
      <c r="B90" s="83"/>
    </row>
    <row r="91" spans="2:2" x14ac:dyDescent="0.3">
      <c r="B91" s="83"/>
    </row>
    <row r="92" spans="2:2" x14ac:dyDescent="0.3">
      <c r="B92" s="83"/>
    </row>
    <row r="93" spans="2:2" x14ac:dyDescent="0.3">
      <c r="B93" s="83"/>
    </row>
    <row r="94" spans="2:2" x14ac:dyDescent="0.3">
      <c r="B94" s="83"/>
    </row>
    <row r="95" spans="2:2" x14ac:dyDescent="0.3">
      <c r="B95" s="83"/>
    </row>
    <row r="96" spans="2:2" x14ac:dyDescent="0.3">
      <c r="B96" s="83"/>
    </row>
    <row r="97" spans="2:2" x14ac:dyDescent="0.3">
      <c r="B97" s="83"/>
    </row>
    <row r="98" spans="2:2" x14ac:dyDescent="0.3">
      <c r="B98" s="83"/>
    </row>
    <row r="99" spans="2:2" x14ac:dyDescent="0.3">
      <c r="B99" s="83"/>
    </row>
    <row r="100" spans="2:2" x14ac:dyDescent="0.3">
      <c r="B100" s="83"/>
    </row>
    <row r="101" spans="2:2" x14ac:dyDescent="0.3">
      <c r="B101" s="83"/>
    </row>
    <row r="102" spans="2:2" x14ac:dyDescent="0.3">
      <c r="B102" s="83"/>
    </row>
    <row r="103" spans="2:2" x14ac:dyDescent="0.3">
      <c r="B103" s="83"/>
    </row>
    <row r="104" spans="2:2" x14ac:dyDescent="0.3">
      <c r="B104" s="83"/>
    </row>
    <row r="105" spans="2:2" x14ac:dyDescent="0.3">
      <c r="B105" s="83"/>
    </row>
    <row r="106" spans="2:2" x14ac:dyDescent="0.3">
      <c r="B106" s="83"/>
    </row>
    <row r="107" spans="2:2" x14ac:dyDescent="0.3">
      <c r="B107" s="83"/>
    </row>
    <row r="108" spans="2:2" x14ac:dyDescent="0.3">
      <c r="B108" s="83"/>
    </row>
    <row r="109" spans="2:2" x14ac:dyDescent="0.3">
      <c r="B109" s="83"/>
    </row>
    <row r="110" spans="2:2" x14ac:dyDescent="0.3">
      <c r="B110" s="83"/>
    </row>
    <row r="111" spans="2:2" x14ac:dyDescent="0.3">
      <c r="B111" s="83"/>
    </row>
    <row r="112" spans="2:2" x14ac:dyDescent="0.3">
      <c r="B112" s="83"/>
    </row>
    <row r="113" spans="2:2" x14ac:dyDescent="0.3">
      <c r="B113" s="83"/>
    </row>
    <row r="114" spans="2:2" x14ac:dyDescent="0.3">
      <c r="B114" s="83"/>
    </row>
    <row r="115" spans="2:2" x14ac:dyDescent="0.3">
      <c r="B115" s="83"/>
    </row>
    <row r="116" spans="2:2" x14ac:dyDescent="0.3">
      <c r="B116" s="83"/>
    </row>
    <row r="117" spans="2:2" x14ac:dyDescent="0.3">
      <c r="B117" s="83"/>
    </row>
    <row r="118" spans="2:2" x14ac:dyDescent="0.3">
      <c r="B118" s="83"/>
    </row>
    <row r="119" spans="2:2" x14ac:dyDescent="0.3">
      <c r="B119" s="83"/>
    </row>
    <row r="120" spans="2:2" x14ac:dyDescent="0.3">
      <c r="B120" s="83"/>
    </row>
    <row r="121" spans="2:2" x14ac:dyDescent="0.3">
      <c r="B121" s="83"/>
    </row>
    <row r="122" spans="2:2" x14ac:dyDescent="0.3">
      <c r="B122" s="83"/>
    </row>
    <row r="123" spans="2:2" x14ac:dyDescent="0.3">
      <c r="B123" s="83"/>
    </row>
    <row r="124" spans="2:2" x14ac:dyDescent="0.3">
      <c r="B124" s="83"/>
    </row>
    <row r="125" spans="2:2" x14ac:dyDescent="0.3">
      <c r="B125" s="83"/>
    </row>
    <row r="126" spans="2:2" x14ac:dyDescent="0.3">
      <c r="B126" s="83"/>
    </row>
    <row r="127" spans="2:2" x14ac:dyDescent="0.3">
      <c r="B127" s="83"/>
    </row>
    <row r="128" spans="2:2" x14ac:dyDescent="0.3">
      <c r="B128" s="83"/>
    </row>
    <row r="129" spans="2:2" x14ac:dyDescent="0.3">
      <c r="B129" s="83"/>
    </row>
    <row r="130" spans="2:2" x14ac:dyDescent="0.3">
      <c r="B130" s="83"/>
    </row>
    <row r="131" spans="2:2" x14ac:dyDescent="0.3">
      <c r="B131" s="83"/>
    </row>
    <row r="132" spans="2:2" x14ac:dyDescent="0.3">
      <c r="B132" s="83"/>
    </row>
    <row r="133" spans="2:2" x14ac:dyDescent="0.3">
      <c r="B133" s="83"/>
    </row>
    <row r="134" spans="2:2" x14ac:dyDescent="0.3">
      <c r="B134" s="83"/>
    </row>
    <row r="135" spans="2:2" x14ac:dyDescent="0.3">
      <c r="B135" s="83"/>
    </row>
    <row r="136" spans="2:2" x14ac:dyDescent="0.3">
      <c r="B136" s="83"/>
    </row>
    <row r="137" spans="2:2" x14ac:dyDescent="0.3">
      <c r="B137" s="83"/>
    </row>
    <row r="138" spans="2:2" x14ac:dyDescent="0.3">
      <c r="B138" s="83"/>
    </row>
    <row r="139" spans="2:2" x14ac:dyDescent="0.3">
      <c r="B139" s="83"/>
    </row>
    <row r="140" spans="2:2" x14ac:dyDescent="0.3">
      <c r="B140" s="83"/>
    </row>
    <row r="141" spans="2:2" x14ac:dyDescent="0.3">
      <c r="B141" s="83"/>
    </row>
    <row r="142" spans="2:2" x14ac:dyDescent="0.3">
      <c r="B142" s="83"/>
    </row>
    <row r="143" spans="2:2" x14ac:dyDescent="0.3">
      <c r="B143" s="83"/>
    </row>
    <row r="144" spans="2:2" x14ac:dyDescent="0.3">
      <c r="B144" s="83"/>
    </row>
    <row r="145" spans="2:2" x14ac:dyDescent="0.3">
      <c r="B145" s="83"/>
    </row>
    <row r="146" spans="2:2" x14ac:dyDescent="0.3">
      <c r="B146" s="83"/>
    </row>
    <row r="147" spans="2:2" x14ac:dyDescent="0.3">
      <c r="B147" s="83"/>
    </row>
    <row r="148" spans="2:2" x14ac:dyDescent="0.3">
      <c r="B148" s="83"/>
    </row>
    <row r="149" spans="2:2" x14ac:dyDescent="0.3">
      <c r="B149" s="83"/>
    </row>
    <row r="150" spans="2:2" x14ac:dyDescent="0.3">
      <c r="B150" s="83"/>
    </row>
    <row r="151" spans="2:2" x14ac:dyDescent="0.3">
      <c r="B151" s="83"/>
    </row>
    <row r="152" spans="2:2" x14ac:dyDescent="0.3">
      <c r="B152" s="83"/>
    </row>
    <row r="153" spans="2:2" x14ac:dyDescent="0.3">
      <c r="B153" s="83"/>
    </row>
    <row r="154" spans="2:2" x14ac:dyDescent="0.3">
      <c r="B154" s="83"/>
    </row>
    <row r="155" spans="2:2" x14ac:dyDescent="0.3">
      <c r="B155" s="83"/>
    </row>
    <row r="156" spans="2:2" x14ac:dyDescent="0.3">
      <c r="B156" s="83"/>
    </row>
    <row r="157" spans="2:2" x14ac:dyDescent="0.3">
      <c r="B157" s="83"/>
    </row>
    <row r="158" spans="2:2" x14ac:dyDescent="0.3">
      <c r="B158" s="83"/>
    </row>
    <row r="159" spans="2:2" x14ac:dyDescent="0.3">
      <c r="B159" s="83"/>
    </row>
    <row r="160" spans="2:2" x14ac:dyDescent="0.3">
      <c r="B160" s="83"/>
    </row>
    <row r="161" spans="2:2" x14ac:dyDescent="0.3">
      <c r="B161" s="83"/>
    </row>
    <row r="162" spans="2:2" x14ac:dyDescent="0.3">
      <c r="B162" s="83"/>
    </row>
    <row r="163" spans="2:2" x14ac:dyDescent="0.3">
      <c r="B163" s="83"/>
    </row>
    <row r="164" spans="2:2" x14ac:dyDescent="0.3">
      <c r="B164" s="83"/>
    </row>
    <row r="165" spans="2:2" x14ac:dyDescent="0.3">
      <c r="B165" s="83"/>
    </row>
    <row r="166" spans="2:2" x14ac:dyDescent="0.3">
      <c r="B166" s="83"/>
    </row>
    <row r="167" spans="2:2" x14ac:dyDescent="0.3">
      <c r="B167" s="83"/>
    </row>
    <row r="168" spans="2:2" x14ac:dyDescent="0.3">
      <c r="B168" s="83"/>
    </row>
    <row r="169" spans="2:2" x14ac:dyDescent="0.3">
      <c r="B169" s="83"/>
    </row>
    <row r="170" spans="2:2" x14ac:dyDescent="0.3">
      <c r="B170" s="83"/>
    </row>
    <row r="171" spans="2:2" x14ac:dyDescent="0.3">
      <c r="B171" s="83"/>
    </row>
    <row r="172" spans="2:2" x14ac:dyDescent="0.3">
      <c r="B172" s="83"/>
    </row>
    <row r="173" spans="2:2" x14ac:dyDescent="0.3">
      <c r="B173" s="83"/>
    </row>
    <row r="174" spans="2:2" x14ac:dyDescent="0.3">
      <c r="B174" s="83"/>
    </row>
    <row r="175" spans="2:2" x14ac:dyDescent="0.3">
      <c r="B175" s="83"/>
    </row>
    <row r="176" spans="2:2" x14ac:dyDescent="0.3">
      <c r="B176" s="83"/>
    </row>
    <row r="177" spans="2:2" x14ac:dyDescent="0.3">
      <c r="B177" s="83"/>
    </row>
    <row r="178" spans="2:2" x14ac:dyDescent="0.3">
      <c r="B178" s="83"/>
    </row>
    <row r="179" spans="2:2" x14ac:dyDescent="0.3">
      <c r="B179" s="83"/>
    </row>
    <row r="180" spans="2:2" x14ac:dyDescent="0.3">
      <c r="B180" s="83"/>
    </row>
    <row r="181" spans="2:2" x14ac:dyDescent="0.3">
      <c r="B181" s="83"/>
    </row>
    <row r="182" spans="2:2" x14ac:dyDescent="0.3">
      <c r="B182" s="83"/>
    </row>
    <row r="183" spans="2:2" x14ac:dyDescent="0.3">
      <c r="B183" s="83"/>
    </row>
    <row r="184" spans="2:2" x14ac:dyDescent="0.3">
      <c r="B184" s="83"/>
    </row>
    <row r="185" spans="2:2" x14ac:dyDescent="0.3">
      <c r="B185" s="83"/>
    </row>
    <row r="186" spans="2:2" x14ac:dyDescent="0.3">
      <c r="B186" s="83"/>
    </row>
    <row r="187" spans="2:2" x14ac:dyDescent="0.3">
      <c r="B187" s="83"/>
    </row>
    <row r="188" spans="2:2" x14ac:dyDescent="0.3">
      <c r="B188" s="83"/>
    </row>
    <row r="189" spans="2:2" x14ac:dyDescent="0.3">
      <c r="B189" s="83"/>
    </row>
    <row r="190" spans="2:2" x14ac:dyDescent="0.3">
      <c r="B190" s="83"/>
    </row>
    <row r="191" spans="2:2" x14ac:dyDescent="0.3">
      <c r="B191" s="83"/>
    </row>
    <row r="192" spans="2:2" x14ac:dyDescent="0.3">
      <c r="B192" s="83"/>
    </row>
    <row r="193" spans="2:2" x14ac:dyDescent="0.3">
      <c r="B193" s="83"/>
    </row>
    <row r="194" spans="2:2" x14ac:dyDescent="0.3">
      <c r="B194" s="83"/>
    </row>
    <row r="195" spans="2:2" x14ac:dyDescent="0.3">
      <c r="B195" s="83"/>
    </row>
    <row r="196" spans="2:2" x14ac:dyDescent="0.3">
      <c r="B196" s="83"/>
    </row>
    <row r="197" spans="2:2" x14ac:dyDescent="0.3">
      <c r="B197" s="83"/>
    </row>
    <row r="198" spans="2:2" x14ac:dyDescent="0.3">
      <c r="B198" s="83"/>
    </row>
    <row r="199" spans="2:2" x14ac:dyDescent="0.3">
      <c r="B199" s="83"/>
    </row>
    <row r="200" spans="2:2" x14ac:dyDescent="0.3">
      <c r="B200" s="83"/>
    </row>
    <row r="201" spans="2:2" x14ac:dyDescent="0.3">
      <c r="B201" s="83"/>
    </row>
    <row r="202" spans="2:2" x14ac:dyDescent="0.3">
      <c r="B202" s="83"/>
    </row>
    <row r="203" spans="2:2" x14ac:dyDescent="0.3">
      <c r="B203" s="83"/>
    </row>
    <row r="204" spans="2:2" x14ac:dyDescent="0.3">
      <c r="B204" s="83"/>
    </row>
    <row r="205" spans="2:2" x14ac:dyDescent="0.3">
      <c r="B205" s="83"/>
    </row>
    <row r="206" spans="2:2" x14ac:dyDescent="0.3">
      <c r="B206" s="83"/>
    </row>
    <row r="207" spans="2:2" x14ac:dyDescent="0.3">
      <c r="B207" s="83"/>
    </row>
    <row r="208" spans="2:2" x14ac:dyDescent="0.3">
      <c r="B208" s="83"/>
    </row>
    <row r="209" spans="2:2" x14ac:dyDescent="0.3">
      <c r="B209" s="83"/>
    </row>
    <row r="210" spans="2:2" x14ac:dyDescent="0.3">
      <c r="B210" s="83"/>
    </row>
    <row r="211" spans="2:2" x14ac:dyDescent="0.3">
      <c r="B211" s="83"/>
    </row>
    <row r="212" spans="2:2" x14ac:dyDescent="0.3">
      <c r="B212" s="83"/>
    </row>
    <row r="213" spans="2:2" x14ac:dyDescent="0.3">
      <c r="B213" s="83"/>
    </row>
    <row r="214" spans="2:2" x14ac:dyDescent="0.3">
      <c r="B214" s="83"/>
    </row>
    <row r="215" spans="2:2" x14ac:dyDescent="0.3">
      <c r="B215" s="83"/>
    </row>
    <row r="216" spans="2:2" x14ac:dyDescent="0.3">
      <c r="B216" s="83"/>
    </row>
    <row r="217" spans="2:2" x14ac:dyDescent="0.3">
      <c r="B217" s="83"/>
    </row>
    <row r="218" spans="2:2" x14ac:dyDescent="0.3">
      <c r="B218" s="83"/>
    </row>
    <row r="219" spans="2:2" x14ac:dyDescent="0.3">
      <c r="B219" s="83"/>
    </row>
    <row r="220" spans="2:2" x14ac:dyDescent="0.3">
      <c r="B220" s="83"/>
    </row>
    <row r="221" spans="2:2" x14ac:dyDescent="0.3">
      <c r="B221" s="83"/>
    </row>
    <row r="222" spans="2:2" x14ac:dyDescent="0.3">
      <c r="B222" s="83"/>
    </row>
    <row r="223" spans="2:2" x14ac:dyDescent="0.3">
      <c r="B223" s="83"/>
    </row>
    <row r="224" spans="2:2" x14ac:dyDescent="0.3">
      <c r="B224" s="83"/>
    </row>
    <row r="225" spans="2:2" x14ac:dyDescent="0.3">
      <c r="B225" s="83"/>
    </row>
    <row r="226" spans="2:2" x14ac:dyDescent="0.3">
      <c r="B226" s="83"/>
    </row>
    <row r="227" spans="2:2" x14ac:dyDescent="0.3">
      <c r="B227" s="83"/>
    </row>
    <row r="228" spans="2:2" x14ac:dyDescent="0.3">
      <c r="B228" s="83"/>
    </row>
    <row r="229" spans="2:2" x14ac:dyDescent="0.3">
      <c r="B229" s="83"/>
    </row>
    <row r="230" spans="2:2" x14ac:dyDescent="0.3">
      <c r="B230" s="83"/>
    </row>
    <row r="231" spans="2:2" x14ac:dyDescent="0.3">
      <c r="B231" s="83"/>
    </row>
    <row r="232" spans="2:2" x14ac:dyDescent="0.3">
      <c r="B232" s="83"/>
    </row>
    <row r="233" spans="2:2" x14ac:dyDescent="0.3">
      <c r="B233" s="83"/>
    </row>
    <row r="234" spans="2:2" x14ac:dyDescent="0.3">
      <c r="B234" s="83"/>
    </row>
    <row r="235" spans="2:2" x14ac:dyDescent="0.3">
      <c r="B235" s="83"/>
    </row>
    <row r="236" spans="2:2" x14ac:dyDescent="0.3">
      <c r="B236" s="83"/>
    </row>
    <row r="237" spans="2:2" x14ac:dyDescent="0.3">
      <c r="B237" s="83"/>
    </row>
    <row r="238" spans="2:2" x14ac:dyDescent="0.3">
      <c r="B238" s="83"/>
    </row>
    <row r="239" spans="2:2" x14ac:dyDescent="0.3">
      <c r="B239" s="83"/>
    </row>
    <row r="240" spans="2:2" x14ac:dyDescent="0.3">
      <c r="B240" s="83"/>
    </row>
    <row r="241" spans="2:2" x14ac:dyDescent="0.3">
      <c r="B241" s="83"/>
    </row>
    <row r="242" spans="2:2" x14ac:dyDescent="0.3">
      <c r="B242" s="83"/>
    </row>
    <row r="243" spans="2:2" x14ac:dyDescent="0.3">
      <c r="B243" s="83"/>
    </row>
    <row r="244" spans="2:2" x14ac:dyDescent="0.3">
      <c r="B244" s="83"/>
    </row>
    <row r="245" spans="2:2" x14ac:dyDescent="0.3">
      <c r="B245" s="83"/>
    </row>
    <row r="246" spans="2:2" x14ac:dyDescent="0.3">
      <c r="B246" s="83"/>
    </row>
    <row r="247" spans="2:2" x14ac:dyDescent="0.3">
      <c r="B247" s="83"/>
    </row>
    <row r="248" spans="2:2" x14ac:dyDescent="0.3">
      <c r="B248" s="83"/>
    </row>
    <row r="249" spans="2:2" x14ac:dyDescent="0.3">
      <c r="B249" s="83"/>
    </row>
    <row r="250" spans="2:2" x14ac:dyDescent="0.3">
      <c r="B250" s="83"/>
    </row>
    <row r="251" spans="2:2" x14ac:dyDescent="0.3">
      <c r="B251" s="83"/>
    </row>
    <row r="252" spans="2:2" x14ac:dyDescent="0.3">
      <c r="B252" s="83"/>
    </row>
    <row r="253" spans="2:2" x14ac:dyDescent="0.3">
      <c r="B253" s="83"/>
    </row>
    <row r="254" spans="2:2" x14ac:dyDescent="0.3">
      <c r="B254" s="83"/>
    </row>
    <row r="255" spans="2:2" x14ac:dyDescent="0.3">
      <c r="B255" s="83"/>
    </row>
    <row r="256" spans="2:2" x14ac:dyDescent="0.3">
      <c r="B256" s="83"/>
    </row>
    <row r="257" spans="2:2" x14ac:dyDescent="0.3">
      <c r="B257" s="83"/>
    </row>
    <row r="258" spans="2:2" x14ac:dyDescent="0.3">
      <c r="B258" s="83"/>
    </row>
    <row r="259" spans="2:2" x14ac:dyDescent="0.3">
      <c r="B259" s="83"/>
    </row>
    <row r="260" spans="2:2" x14ac:dyDescent="0.3">
      <c r="B260" s="83"/>
    </row>
    <row r="261" spans="2:2" x14ac:dyDescent="0.3">
      <c r="B261" s="83"/>
    </row>
    <row r="262" spans="2:2" x14ac:dyDescent="0.3">
      <c r="B262" s="83"/>
    </row>
    <row r="263" spans="2:2" x14ac:dyDescent="0.3">
      <c r="B263" s="83"/>
    </row>
    <row r="264" spans="2:2" x14ac:dyDescent="0.3">
      <c r="B264" s="83"/>
    </row>
    <row r="265" spans="2:2" x14ac:dyDescent="0.3">
      <c r="B265" s="83"/>
    </row>
    <row r="266" spans="2:2" x14ac:dyDescent="0.3">
      <c r="B266" s="83"/>
    </row>
    <row r="267" spans="2:2" x14ac:dyDescent="0.3">
      <c r="B267" s="83"/>
    </row>
    <row r="268" spans="2:2" x14ac:dyDescent="0.3">
      <c r="B268" s="83"/>
    </row>
    <row r="269" spans="2:2" x14ac:dyDescent="0.3">
      <c r="B269" s="83"/>
    </row>
    <row r="270" spans="2:2" x14ac:dyDescent="0.3">
      <c r="B270" s="83"/>
    </row>
    <row r="271" spans="2:2" x14ac:dyDescent="0.3">
      <c r="B271" s="83"/>
    </row>
    <row r="272" spans="2:2" x14ac:dyDescent="0.3">
      <c r="B272" s="83"/>
    </row>
    <row r="273" spans="2:2" x14ac:dyDescent="0.3">
      <c r="B273" s="83"/>
    </row>
    <row r="274" spans="2:2" x14ac:dyDescent="0.3">
      <c r="B274" s="83"/>
    </row>
    <row r="275" spans="2:2" x14ac:dyDescent="0.3">
      <c r="B275" s="83"/>
    </row>
    <row r="276" spans="2:2" x14ac:dyDescent="0.3">
      <c r="B276" s="83"/>
    </row>
    <row r="277" spans="2:2" x14ac:dyDescent="0.3">
      <c r="B277" s="83"/>
    </row>
    <row r="278" spans="2:2" x14ac:dyDescent="0.3">
      <c r="B278" s="83"/>
    </row>
    <row r="279" spans="2:2" x14ac:dyDescent="0.3">
      <c r="B279" s="83"/>
    </row>
    <row r="280" spans="2:2" x14ac:dyDescent="0.3">
      <c r="B280" s="83"/>
    </row>
    <row r="281" spans="2:2" x14ac:dyDescent="0.3">
      <c r="B281" s="83"/>
    </row>
    <row r="282" spans="2:2" x14ac:dyDescent="0.3">
      <c r="B282" s="83"/>
    </row>
    <row r="283" spans="2:2" x14ac:dyDescent="0.3">
      <c r="B283" s="83"/>
    </row>
    <row r="284" spans="2:2" x14ac:dyDescent="0.3">
      <c r="B284" s="83"/>
    </row>
    <row r="285" spans="2:2" x14ac:dyDescent="0.3">
      <c r="B285" s="83"/>
    </row>
    <row r="286" spans="2:2" x14ac:dyDescent="0.3">
      <c r="B286" s="83"/>
    </row>
    <row r="287" spans="2:2" x14ac:dyDescent="0.3">
      <c r="B287" s="83"/>
    </row>
    <row r="288" spans="2:2" x14ac:dyDescent="0.3">
      <c r="B288" s="83"/>
    </row>
    <row r="289" spans="2:2" x14ac:dyDescent="0.3">
      <c r="B289" s="83"/>
    </row>
    <row r="290" spans="2:2" x14ac:dyDescent="0.3">
      <c r="B290" s="83"/>
    </row>
    <row r="291" spans="2:2" x14ac:dyDescent="0.3">
      <c r="B291" s="83"/>
    </row>
    <row r="292" spans="2:2" x14ac:dyDescent="0.3">
      <c r="B292" s="83"/>
    </row>
    <row r="293" spans="2:2" x14ac:dyDescent="0.3">
      <c r="B293" s="83"/>
    </row>
    <row r="294" spans="2:2" x14ac:dyDescent="0.3">
      <c r="B294" s="83"/>
    </row>
    <row r="295" spans="2:2" x14ac:dyDescent="0.3">
      <c r="B295" s="83"/>
    </row>
    <row r="296" spans="2:2" x14ac:dyDescent="0.3">
      <c r="B296" s="83"/>
    </row>
    <row r="297" spans="2:2" x14ac:dyDescent="0.3">
      <c r="B297" s="83"/>
    </row>
    <row r="298" spans="2:2" x14ac:dyDescent="0.3">
      <c r="B298" s="83"/>
    </row>
    <row r="299" spans="2:2" x14ac:dyDescent="0.3">
      <c r="B299" s="83"/>
    </row>
    <row r="300" spans="2:2" x14ac:dyDescent="0.3">
      <c r="B300" s="83"/>
    </row>
    <row r="301" spans="2:2" x14ac:dyDescent="0.3">
      <c r="B301" s="83"/>
    </row>
    <row r="302" spans="2:2" x14ac:dyDescent="0.3">
      <c r="B302" s="83"/>
    </row>
    <row r="303" spans="2:2" x14ac:dyDescent="0.3">
      <c r="B303" s="83"/>
    </row>
    <row r="304" spans="2:2" x14ac:dyDescent="0.3">
      <c r="B304" s="83"/>
    </row>
    <row r="305" spans="2:2" x14ac:dyDescent="0.3">
      <c r="B305" s="83"/>
    </row>
    <row r="306" spans="2:2" x14ac:dyDescent="0.3">
      <c r="B306" s="83"/>
    </row>
    <row r="307" spans="2:2" x14ac:dyDescent="0.3">
      <c r="B307" s="83"/>
    </row>
    <row r="308" spans="2:2" x14ac:dyDescent="0.3">
      <c r="B308" s="83"/>
    </row>
    <row r="309" spans="2:2" x14ac:dyDescent="0.3">
      <c r="B309" s="83"/>
    </row>
    <row r="310" spans="2:2" x14ac:dyDescent="0.3">
      <c r="B310" s="83"/>
    </row>
    <row r="311" spans="2:2" x14ac:dyDescent="0.3">
      <c r="B311" s="83"/>
    </row>
    <row r="312" spans="2:2" x14ac:dyDescent="0.3">
      <c r="B312" s="83"/>
    </row>
    <row r="313" spans="2:2" x14ac:dyDescent="0.3">
      <c r="B313" s="83"/>
    </row>
    <row r="314" spans="2:2" x14ac:dyDescent="0.3">
      <c r="B314" s="83"/>
    </row>
    <row r="315" spans="2:2" x14ac:dyDescent="0.3">
      <c r="B315" s="83"/>
    </row>
    <row r="316" spans="2:2" x14ac:dyDescent="0.3">
      <c r="B316" s="83"/>
    </row>
    <row r="317" spans="2:2" x14ac:dyDescent="0.3">
      <c r="B317" s="83"/>
    </row>
    <row r="318" spans="2:2" x14ac:dyDescent="0.3">
      <c r="B318" s="83"/>
    </row>
    <row r="319" spans="2:2" x14ac:dyDescent="0.3">
      <c r="B319" s="83"/>
    </row>
    <row r="320" spans="2:2" x14ac:dyDescent="0.3">
      <c r="B320" s="83"/>
    </row>
    <row r="321" spans="2:2" x14ac:dyDescent="0.3">
      <c r="B321" s="83"/>
    </row>
    <row r="322" spans="2:2" x14ac:dyDescent="0.3">
      <c r="B322" s="83"/>
    </row>
    <row r="323" spans="2:2" x14ac:dyDescent="0.3">
      <c r="B323" s="83"/>
    </row>
    <row r="324" spans="2:2" x14ac:dyDescent="0.3">
      <c r="B324" s="83"/>
    </row>
    <row r="325" spans="2:2" x14ac:dyDescent="0.3">
      <c r="B325" s="83"/>
    </row>
    <row r="326" spans="2:2" x14ac:dyDescent="0.3">
      <c r="B326" s="83"/>
    </row>
    <row r="327" spans="2:2" x14ac:dyDescent="0.3">
      <c r="B327" s="83"/>
    </row>
    <row r="328" spans="2:2" x14ac:dyDescent="0.3">
      <c r="B328" s="83"/>
    </row>
    <row r="329" spans="2:2" x14ac:dyDescent="0.3">
      <c r="B329" s="83"/>
    </row>
    <row r="330" spans="2:2" x14ac:dyDescent="0.3">
      <c r="B330" s="83"/>
    </row>
    <row r="331" spans="2:2" x14ac:dyDescent="0.3">
      <c r="B331" s="83"/>
    </row>
    <row r="332" spans="2:2" x14ac:dyDescent="0.3">
      <c r="B332" s="83"/>
    </row>
    <row r="333" spans="2:2" x14ac:dyDescent="0.3">
      <c r="B333" s="83"/>
    </row>
    <row r="334" spans="2:2" x14ac:dyDescent="0.3">
      <c r="B334" s="83"/>
    </row>
    <row r="335" spans="2:2" x14ac:dyDescent="0.3">
      <c r="B335" s="83"/>
    </row>
    <row r="336" spans="2:2" x14ac:dyDescent="0.3">
      <c r="B336" s="83"/>
    </row>
    <row r="337" spans="2:2" x14ac:dyDescent="0.3">
      <c r="B337" s="83"/>
    </row>
    <row r="338" spans="2:2" x14ac:dyDescent="0.3">
      <c r="B338" s="83"/>
    </row>
    <row r="339" spans="2:2" x14ac:dyDescent="0.3">
      <c r="B339" s="83"/>
    </row>
    <row r="340" spans="2:2" x14ac:dyDescent="0.3">
      <c r="B340" s="83"/>
    </row>
    <row r="341" spans="2:2" x14ac:dyDescent="0.3">
      <c r="B341" s="83"/>
    </row>
    <row r="342" spans="2:2" x14ac:dyDescent="0.3">
      <c r="B342" s="83"/>
    </row>
    <row r="343" spans="2:2" x14ac:dyDescent="0.3">
      <c r="B343" s="83"/>
    </row>
    <row r="344" spans="2:2" x14ac:dyDescent="0.3">
      <c r="B344" s="83"/>
    </row>
    <row r="345" spans="2:2" x14ac:dyDescent="0.3">
      <c r="B345" s="83"/>
    </row>
    <row r="346" spans="2:2" x14ac:dyDescent="0.3">
      <c r="B346" s="83"/>
    </row>
    <row r="347" spans="2:2" x14ac:dyDescent="0.3">
      <c r="B347" s="83"/>
    </row>
    <row r="348" spans="2:2" x14ac:dyDescent="0.3">
      <c r="B348" s="83"/>
    </row>
    <row r="349" spans="2:2" x14ac:dyDescent="0.3">
      <c r="B349" s="83"/>
    </row>
    <row r="350" spans="2:2" x14ac:dyDescent="0.3">
      <c r="B350" s="83"/>
    </row>
    <row r="351" spans="2:2" x14ac:dyDescent="0.3">
      <c r="B351" s="83"/>
    </row>
    <row r="352" spans="2:2" x14ac:dyDescent="0.3">
      <c r="B352" s="83"/>
    </row>
    <row r="353" spans="2:2" x14ac:dyDescent="0.3">
      <c r="B353" s="83"/>
    </row>
    <row r="354" spans="2:2" x14ac:dyDescent="0.3">
      <c r="B354" s="83"/>
    </row>
    <row r="355" spans="2:2" x14ac:dyDescent="0.3">
      <c r="B355" s="83"/>
    </row>
    <row r="356" spans="2:2" x14ac:dyDescent="0.3">
      <c r="B356" s="83"/>
    </row>
    <row r="357" spans="2:2" x14ac:dyDescent="0.3">
      <c r="B357" s="83"/>
    </row>
    <row r="358" spans="2:2" x14ac:dyDescent="0.3">
      <c r="B358" s="83"/>
    </row>
    <row r="359" spans="2:2" x14ac:dyDescent="0.3">
      <c r="B359" s="83"/>
    </row>
    <row r="360" spans="2:2" x14ac:dyDescent="0.3">
      <c r="B360" s="83"/>
    </row>
    <row r="361" spans="2:2" x14ac:dyDescent="0.3">
      <c r="B361" s="83"/>
    </row>
    <row r="362" spans="2:2" x14ac:dyDescent="0.3">
      <c r="B362" s="83"/>
    </row>
    <row r="363" spans="2:2" x14ac:dyDescent="0.3">
      <c r="B363" s="83"/>
    </row>
    <row r="364" spans="2:2" x14ac:dyDescent="0.3">
      <c r="B364" s="83"/>
    </row>
    <row r="365" spans="2:2" x14ac:dyDescent="0.3">
      <c r="B365" s="83"/>
    </row>
    <row r="366" spans="2:2" x14ac:dyDescent="0.3">
      <c r="B366" s="83"/>
    </row>
    <row r="367" spans="2:2" x14ac:dyDescent="0.3">
      <c r="B367" s="83"/>
    </row>
    <row r="368" spans="2:2" x14ac:dyDescent="0.3">
      <c r="B368" s="83"/>
    </row>
    <row r="369" spans="2:2" x14ac:dyDescent="0.3">
      <c r="B369" s="83"/>
    </row>
    <row r="370" spans="2:2" x14ac:dyDescent="0.3">
      <c r="B370" s="83"/>
    </row>
    <row r="371" spans="2:2" x14ac:dyDescent="0.3">
      <c r="B371" s="83"/>
    </row>
    <row r="372" spans="2:2" x14ac:dyDescent="0.3">
      <c r="B372" s="83"/>
    </row>
    <row r="373" spans="2:2" x14ac:dyDescent="0.3">
      <c r="B373" s="83"/>
    </row>
    <row r="374" spans="2:2" x14ac:dyDescent="0.3">
      <c r="B374" s="83"/>
    </row>
    <row r="375" spans="2:2" x14ac:dyDescent="0.3">
      <c r="B375" s="83"/>
    </row>
    <row r="376" spans="2:2" x14ac:dyDescent="0.3">
      <c r="B376" s="83"/>
    </row>
    <row r="377" spans="2:2" x14ac:dyDescent="0.3">
      <c r="B377" s="83"/>
    </row>
    <row r="378" spans="2:2" x14ac:dyDescent="0.3">
      <c r="B378" s="83"/>
    </row>
    <row r="379" spans="2:2" x14ac:dyDescent="0.3">
      <c r="B379" s="83"/>
    </row>
    <row r="380" spans="2:2" x14ac:dyDescent="0.3">
      <c r="B380" s="83"/>
    </row>
    <row r="381" spans="2:2" x14ac:dyDescent="0.3">
      <c r="B381" s="83"/>
    </row>
    <row r="382" spans="2:2" x14ac:dyDescent="0.3">
      <c r="B382" s="83"/>
    </row>
    <row r="383" spans="2:2" x14ac:dyDescent="0.3">
      <c r="B383" s="83"/>
    </row>
    <row r="384" spans="2:2" x14ac:dyDescent="0.3">
      <c r="B384" s="83"/>
    </row>
    <row r="385" spans="2:2" x14ac:dyDescent="0.3">
      <c r="B385" s="83"/>
    </row>
    <row r="386" spans="2:2" x14ac:dyDescent="0.3">
      <c r="B386" s="83"/>
    </row>
    <row r="387" spans="2:2" x14ac:dyDescent="0.3">
      <c r="B387" s="83"/>
    </row>
    <row r="388" spans="2:2" x14ac:dyDescent="0.3">
      <c r="B388" s="83"/>
    </row>
    <row r="389" spans="2:2" x14ac:dyDescent="0.3">
      <c r="B389" s="83"/>
    </row>
    <row r="390" spans="2:2" x14ac:dyDescent="0.3">
      <c r="B390" s="83"/>
    </row>
    <row r="391" spans="2:2" x14ac:dyDescent="0.3">
      <c r="B391" s="83"/>
    </row>
    <row r="392" spans="2:2" x14ac:dyDescent="0.3">
      <c r="B392" s="83"/>
    </row>
    <row r="393" spans="2:2" x14ac:dyDescent="0.3">
      <c r="B393" s="83"/>
    </row>
    <row r="394" spans="2:2" x14ac:dyDescent="0.3">
      <c r="B394" s="83"/>
    </row>
    <row r="395" spans="2:2" x14ac:dyDescent="0.3">
      <c r="B395" s="83"/>
    </row>
    <row r="396" spans="2:2" x14ac:dyDescent="0.3">
      <c r="B396" s="83"/>
    </row>
    <row r="397" spans="2:2" x14ac:dyDescent="0.3">
      <c r="B397" s="83"/>
    </row>
    <row r="398" spans="2:2" x14ac:dyDescent="0.3">
      <c r="B398" s="83"/>
    </row>
    <row r="399" spans="2:2" x14ac:dyDescent="0.3">
      <c r="B399" s="83"/>
    </row>
    <row r="400" spans="2:2" x14ac:dyDescent="0.3">
      <c r="B400" s="83"/>
    </row>
    <row r="401" spans="2:2" x14ac:dyDescent="0.3">
      <c r="B401" s="83"/>
    </row>
    <row r="402" spans="2:2" x14ac:dyDescent="0.3">
      <c r="B402" s="83"/>
    </row>
    <row r="403" spans="2:2" x14ac:dyDescent="0.3">
      <c r="B403" s="83"/>
    </row>
    <row r="404" spans="2:2" x14ac:dyDescent="0.3">
      <c r="B404" s="83"/>
    </row>
    <row r="405" spans="2:2" x14ac:dyDescent="0.3">
      <c r="B405" s="83"/>
    </row>
    <row r="406" spans="2:2" x14ac:dyDescent="0.3">
      <c r="B406" s="83"/>
    </row>
    <row r="407" spans="2:2" x14ac:dyDescent="0.3">
      <c r="B407" s="83"/>
    </row>
    <row r="408" spans="2:2" x14ac:dyDescent="0.3">
      <c r="B408" s="83"/>
    </row>
    <row r="409" spans="2:2" x14ac:dyDescent="0.3">
      <c r="B409" s="83"/>
    </row>
    <row r="410" spans="2:2" x14ac:dyDescent="0.3">
      <c r="B410" s="83"/>
    </row>
    <row r="411" spans="2:2" x14ac:dyDescent="0.3">
      <c r="B411" s="83"/>
    </row>
    <row r="412" spans="2:2" x14ac:dyDescent="0.3">
      <c r="B412" s="83"/>
    </row>
    <row r="413" spans="2:2" x14ac:dyDescent="0.3">
      <c r="B413" s="83"/>
    </row>
    <row r="414" spans="2:2" x14ac:dyDescent="0.3">
      <c r="B414" s="83"/>
    </row>
    <row r="415" spans="2:2" x14ac:dyDescent="0.3">
      <c r="B415" s="83"/>
    </row>
    <row r="416" spans="2:2" x14ac:dyDescent="0.3">
      <c r="B416" s="83"/>
    </row>
    <row r="417" spans="2:2" x14ac:dyDescent="0.3">
      <c r="B417" s="83"/>
    </row>
    <row r="418" spans="2:2" x14ac:dyDescent="0.3">
      <c r="B418" s="83"/>
    </row>
    <row r="419" spans="2:2" x14ac:dyDescent="0.3">
      <c r="B419" s="83"/>
    </row>
    <row r="420" spans="2:2" x14ac:dyDescent="0.3">
      <c r="B420" s="83"/>
    </row>
    <row r="421" spans="2:2" x14ac:dyDescent="0.3">
      <c r="B421" s="83"/>
    </row>
    <row r="422" spans="2:2" x14ac:dyDescent="0.3">
      <c r="B422" s="83"/>
    </row>
    <row r="423" spans="2:2" x14ac:dyDescent="0.3">
      <c r="B423" s="83"/>
    </row>
    <row r="424" spans="2:2" x14ac:dyDescent="0.3">
      <c r="B424" s="83"/>
    </row>
    <row r="425" spans="2:2" x14ac:dyDescent="0.3">
      <c r="B425" s="83"/>
    </row>
    <row r="426" spans="2:2" x14ac:dyDescent="0.3">
      <c r="B426" s="83"/>
    </row>
    <row r="427" spans="2:2" x14ac:dyDescent="0.3">
      <c r="B427" s="83"/>
    </row>
    <row r="428" spans="2:2" x14ac:dyDescent="0.3">
      <c r="B428" s="83"/>
    </row>
    <row r="429" spans="2:2" x14ac:dyDescent="0.3">
      <c r="B429" s="83"/>
    </row>
    <row r="430" spans="2:2" x14ac:dyDescent="0.3">
      <c r="B430" s="83"/>
    </row>
    <row r="431" spans="2:2" x14ac:dyDescent="0.3">
      <c r="B431" s="83"/>
    </row>
    <row r="432" spans="2:2" x14ac:dyDescent="0.3">
      <c r="B432" s="83"/>
    </row>
    <row r="433" spans="2:2" x14ac:dyDescent="0.3">
      <c r="B433" s="83"/>
    </row>
    <row r="434" spans="2:2" x14ac:dyDescent="0.3">
      <c r="B434" s="83"/>
    </row>
    <row r="435" spans="2:2" x14ac:dyDescent="0.3">
      <c r="B435" s="83"/>
    </row>
    <row r="436" spans="2:2" x14ac:dyDescent="0.3">
      <c r="B436" s="83"/>
    </row>
    <row r="437" spans="2:2" x14ac:dyDescent="0.3">
      <c r="B437" s="83"/>
    </row>
    <row r="438" spans="2:2" x14ac:dyDescent="0.3">
      <c r="B438" s="83"/>
    </row>
    <row r="439" spans="2:2" x14ac:dyDescent="0.3">
      <c r="B439" s="83"/>
    </row>
    <row r="440" spans="2:2" x14ac:dyDescent="0.3">
      <c r="B440" s="83"/>
    </row>
    <row r="441" spans="2:2" x14ac:dyDescent="0.3">
      <c r="B441" s="83"/>
    </row>
    <row r="442" spans="2:2" x14ac:dyDescent="0.3">
      <c r="B442" s="83"/>
    </row>
    <row r="443" spans="2:2" x14ac:dyDescent="0.3">
      <c r="B443" s="83"/>
    </row>
    <row r="444" spans="2:2" x14ac:dyDescent="0.3">
      <c r="B444" s="83"/>
    </row>
    <row r="445" spans="2:2" x14ac:dyDescent="0.3">
      <c r="B445" s="83"/>
    </row>
    <row r="446" spans="2:2" x14ac:dyDescent="0.3">
      <c r="B446" s="83"/>
    </row>
    <row r="447" spans="2:2" x14ac:dyDescent="0.3">
      <c r="B447" s="83"/>
    </row>
    <row r="448" spans="2:2" x14ac:dyDescent="0.3">
      <c r="B448" s="83"/>
    </row>
    <row r="449" spans="2:2" x14ac:dyDescent="0.3">
      <c r="B449" s="83"/>
    </row>
    <row r="450" spans="2:2" x14ac:dyDescent="0.3">
      <c r="B450" s="83"/>
    </row>
    <row r="451" spans="2:2" x14ac:dyDescent="0.3">
      <c r="B451" s="83"/>
    </row>
    <row r="452" spans="2:2" x14ac:dyDescent="0.3">
      <c r="B452" s="83"/>
    </row>
    <row r="453" spans="2:2" x14ac:dyDescent="0.3">
      <c r="B453" s="83"/>
    </row>
    <row r="454" spans="2:2" x14ac:dyDescent="0.3">
      <c r="B454" s="83"/>
    </row>
    <row r="455" spans="2:2" x14ac:dyDescent="0.3">
      <c r="B455" s="83"/>
    </row>
    <row r="456" spans="2:2" x14ac:dyDescent="0.3">
      <c r="B456" s="83"/>
    </row>
    <row r="457" spans="2:2" x14ac:dyDescent="0.3">
      <c r="B457" s="83"/>
    </row>
    <row r="458" spans="2:2" x14ac:dyDescent="0.3">
      <c r="B458" s="83"/>
    </row>
    <row r="459" spans="2:2" x14ac:dyDescent="0.3">
      <c r="B459" s="83"/>
    </row>
    <row r="460" spans="2:2" x14ac:dyDescent="0.3">
      <c r="B460" s="83"/>
    </row>
    <row r="461" spans="2:2" x14ac:dyDescent="0.3">
      <c r="B461" s="83"/>
    </row>
    <row r="462" spans="2:2" x14ac:dyDescent="0.3">
      <c r="B462" s="83"/>
    </row>
    <row r="463" spans="2:2" x14ac:dyDescent="0.3">
      <c r="B463" s="83"/>
    </row>
    <row r="464" spans="2:2" x14ac:dyDescent="0.3">
      <c r="B464" s="83"/>
    </row>
    <row r="465" spans="2:2" x14ac:dyDescent="0.3">
      <c r="B465" s="83"/>
    </row>
    <row r="466" spans="2:2" x14ac:dyDescent="0.3">
      <c r="B466" s="83"/>
    </row>
    <row r="467" spans="2:2" x14ac:dyDescent="0.3">
      <c r="B467" s="83"/>
    </row>
    <row r="468" spans="2:2" x14ac:dyDescent="0.3">
      <c r="B468" s="83"/>
    </row>
    <row r="469" spans="2:2" x14ac:dyDescent="0.3">
      <c r="B469" s="83"/>
    </row>
    <row r="470" spans="2:2" x14ac:dyDescent="0.3">
      <c r="B470" s="83"/>
    </row>
    <row r="471" spans="2:2" x14ac:dyDescent="0.3">
      <c r="B471" s="83"/>
    </row>
    <row r="472" spans="2:2" x14ac:dyDescent="0.3">
      <c r="B472" s="83"/>
    </row>
    <row r="473" spans="2:2" x14ac:dyDescent="0.3">
      <c r="B473" s="83"/>
    </row>
    <row r="474" spans="2:2" x14ac:dyDescent="0.3">
      <c r="B474" s="83"/>
    </row>
    <row r="475" spans="2:2" x14ac:dyDescent="0.3">
      <c r="B475" s="83"/>
    </row>
    <row r="476" spans="2:2" x14ac:dyDescent="0.3">
      <c r="B476" s="83"/>
    </row>
    <row r="477" spans="2:2" x14ac:dyDescent="0.3">
      <c r="B477" s="83"/>
    </row>
    <row r="478" spans="2:2" x14ac:dyDescent="0.3">
      <c r="B478" s="83"/>
    </row>
    <row r="479" spans="2:2" x14ac:dyDescent="0.3">
      <c r="B479" s="83"/>
    </row>
    <row r="480" spans="2:2" x14ac:dyDescent="0.3">
      <c r="B480" s="83"/>
    </row>
    <row r="481" spans="2:2" x14ac:dyDescent="0.3">
      <c r="B481" s="83"/>
    </row>
    <row r="482" spans="2:2" x14ac:dyDescent="0.3">
      <c r="B482" s="83"/>
    </row>
    <row r="483" spans="2:2" x14ac:dyDescent="0.3">
      <c r="B483" s="83"/>
    </row>
    <row r="484" spans="2:2" x14ac:dyDescent="0.3">
      <c r="B484" s="83"/>
    </row>
    <row r="485" spans="2:2" x14ac:dyDescent="0.3">
      <c r="B485" s="83"/>
    </row>
    <row r="486" spans="2:2" x14ac:dyDescent="0.3">
      <c r="B486" s="83"/>
    </row>
    <row r="487" spans="2:2" x14ac:dyDescent="0.3">
      <c r="B487" s="83"/>
    </row>
    <row r="488" spans="2:2" x14ac:dyDescent="0.3">
      <c r="B488" s="83"/>
    </row>
    <row r="489" spans="2:2" x14ac:dyDescent="0.3">
      <c r="B489" s="83"/>
    </row>
    <row r="490" spans="2:2" x14ac:dyDescent="0.3">
      <c r="B490" s="83"/>
    </row>
    <row r="491" spans="2:2" x14ac:dyDescent="0.3">
      <c r="B491" s="83"/>
    </row>
    <row r="492" spans="2:2" x14ac:dyDescent="0.3">
      <c r="B492" s="83"/>
    </row>
    <row r="493" spans="2:2" x14ac:dyDescent="0.3">
      <c r="B493" s="83"/>
    </row>
    <row r="494" spans="2:2" x14ac:dyDescent="0.3">
      <c r="B494" s="83"/>
    </row>
    <row r="495" spans="2:2" x14ac:dyDescent="0.3">
      <c r="B495" s="83"/>
    </row>
    <row r="496" spans="2:2" x14ac:dyDescent="0.3">
      <c r="B496" s="83"/>
    </row>
    <row r="497" spans="2:2" x14ac:dyDescent="0.3">
      <c r="B497" s="83"/>
    </row>
    <row r="498" spans="2:2" x14ac:dyDescent="0.3">
      <c r="B498" s="83"/>
    </row>
    <row r="499" spans="2:2" x14ac:dyDescent="0.3">
      <c r="B499" s="83"/>
    </row>
    <row r="500" spans="2:2" x14ac:dyDescent="0.3">
      <c r="B500" s="83"/>
    </row>
    <row r="501" spans="2:2" x14ac:dyDescent="0.3">
      <c r="B501" s="83"/>
    </row>
    <row r="502" spans="2:2" x14ac:dyDescent="0.3">
      <c r="B502" s="83"/>
    </row>
    <row r="503" spans="2:2" x14ac:dyDescent="0.3">
      <c r="B503" s="83"/>
    </row>
    <row r="504" spans="2:2" x14ac:dyDescent="0.3">
      <c r="B504" s="83"/>
    </row>
    <row r="505" spans="2:2" x14ac:dyDescent="0.3">
      <c r="B505" s="83"/>
    </row>
    <row r="506" spans="2:2" x14ac:dyDescent="0.3">
      <c r="B506" s="83"/>
    </row>
    <row r="507" spans="2:2" x14ac:dyDescent="0.3">
      <c r="B507" s="83"/>
    </row>
    <row r="508" spans="2:2" x14ac:dyDescent="0.3">
      <c r="B508" s="83"/>
    </row>
    <row r="509" spans="2:2" x14ac:dyDescent="0.3">
      <c r="B509" s="83"/>
    </row>
    <row r="510" spans="2:2" x14ac:dyDescent="0.3">
      <c r="B510" s="83"/>
    </row>
    <row r="511" spans="2:2" x14ac:dyDescent="0.3">
      <c r="B511" s="83"/>
    </row>
    <row r="512" spans="2:2" x14ac:dyDescent="0.3">
      <c r="B512" s="83"/>
    </row>
    <row r="513" spans="2:2" x14ac:dyDescent="0.3">
      <c r="B513" s="83"/>
    </row>
    <row r="514" spans="2:2" x14ac:dyDescent="0.3">
      <c r="B514" s="83"/>
    </row>
    <row r="515" spans="2:2" x14ac:dyDescent="0.3">
      <c r="B515" s="83"/>
    </row>
    <row r="516" spans="2:2" x14ac:dyDescent="0.3">
      <c r="B516" s="83"/>
    </row>
    <row r="517" spans="2:2" x14ac:dyDescent="0.3">
      <c r="B517" s="83"/>
    </row>
    <row r="518" spans="2:2" x14ac:dyDescent="0.3">
      <c r="B518" s="83"/>
    </row>
    <row r="519" spans="2:2" x14ac:dyDescent="0.3">
      <c r="B519" s="83"/>
    </row>
    <row r="520" spans="2:2" x14ac:dyDescent="0.3">
      <c r="B520" s="83"/>
    </row>
    <row r="521" spans="2:2" x14ac:dyDescent="0.3">
      <c r="B521" s="83"/>
    </row>
    <row r="522" spans="2:2" x14ac:dyDescent="0.3">
      <c r="B522" s="83"/>
    </row>
    <row r="523" spans="2:2" x14ac:dyDescent="0.3">
      <c r="B523" s="83"/>
    </row>
    <row r="524" spans="2:2" x14ac:dyDescent="0.3">
      <c r="B524" s="83"/>
    </row>
    <row r="525" spans="2:2" x14ac:dyDescent="0.3">
      <c r="B525" s="83"/>
    </row>
    <row r="526" spans="2:2" x14ac:dyDescent="0.3">
      <c r="B526" s="83"/>
    </row>
    <row r="527" spans="2:2" x14ac:dyDescent="0.3">
      <c r="B527" s="83"/>
    </row>
    <row r="528" spans="2:2" x14ac:dyDescent="0.3">
      <c r="B528" s="83"/>
    </row>
    <row r="529" spans="2:2" x14ac:dyDescent="0.3">
      <c r="B529" s="83"/>
    </row>
    <row r="530" spans="2:2" x14ac:dyDescent="0.3">
      <c r="B530" s="83"/>
    </row>
    <row r="531" spans="2:2" x14ac:dyDescent="0.3">
      <c r="B531" s="83"/>
    </row>
    <row r="532" spans="2:2" x14ac:dyDescent="0.3">
      <c r="B532" s="83"/>
    </row>
    <row r="533" spans="2:2" x14ac:dyDescent="0.3">
      <c r="B533" s="83"/>
    </row>
    <row r="534" spans="2:2" x14ac:dyDescent="0.3">
      <c r="B534" s="83"/>
    </row>
    <row r="535" spans="2:2" x14ac:dyDescent="0.3">
      <c r="B535" s="83"/>
    </row>
    <row r="536" spans="2:2" x14ac:dyDescent="0.3">
      <c r="B536" s="83"/>
    </row>
    <row r="537" spans="2:2" x14ac:dyDescent="0.3">
      <c r="B537" s="83"/>
    </row>
    <row r="538" spans="2:2" x14ac:dyDescent="0.3">
      <c r="B538" s="83"/>
    </row>
    <row r="539" spans="2:2" x14ac:dyDescent="0.3">
      <c r="B539" s="83"/>
    </row>
    <row r="540" spans="2:2" x14ac:dyDescent="0.3">
      <c r="B540" s="83"/>
    </row>
    <row r="541" spans="2:2" x14ac:dyDescent="0.3">
      <c r="B541" s="83"/>
    </row>
    <row r="542" spans="2:2" x14ac:dyDescent="0.3">
      <c r="B542" s="83"/>
    </row>
    <row r="543" spans="2:2" x14ac:dyDescent="0.3">
      <c r="B543" s="83"/>
    </row>
    <row r="544" spans="2:2" x14ac:dyDescent="0.3">
      <c r="B544" s="83"/>
    </row>
    <row r="545" spans="2:2" x14ac:dyDescent="0.3">
      <c r="B545" s="83"/>
    </row>
    <row r="546" spans="2:2" x14ac:dyDescent="0.3">
      <c r="B546" s="83"/>
    </row>
    <row r="547" spans="2:2" x14ac:dyDescent="0.3">
      <c r="B547" s="83"/>
    </row>
    <row r="548" spans="2:2" x14ac:dyDescent="0.3">
      <c r="B548" s="83"/>
    </row>
    <row r="549" spans="2:2" x14ac:dyDescent="0.3">
      <c r="B549" s="83"/>
    </row>
    <row r="550" spans="2:2" x14ac:dyDescent="0.3">
      <c r="B550" s="83"/>
    </row>
    <row r="551" spans="2:2" x14ac:dyDescent="0.3">
      <c r="B551" s="83"/>
    </row>
    <row r="552" spans="2:2" x14ac:dyDescent="0.3">
      <c r="B552" s="83"/>
    </row>
    <row r="553" spans="2:2" x14ac:dyDescent="0.3">
      <c r="B553" s="83"/>
    </row>
    <row r="554" spans="2:2" x14ac:dyDescent="0.3">
      <c r="B554" s="83"/>
    </row>
    <row r="555" spans="2:2" x14ac:dyDescent="0.3">
      <c r="B555" s="83"/>
    </row>
    <row r="556" spans="2:2" x14ac:dyDescent="0.3">
      <c r="B556" s="83"/>
    </row>
    <row r="557" spans="2:2" x14ac:dyDescent="0.3">
      <c r="B557" s="83"/>
    </row>
    <row r="558" spans="2:2" x14ac:dyDescent="0.3">
      <c r="B558" s="83"/>
    </row>
    <row r="559" spans="2:2" x14ac:dyDescent="0.3">
      <c r="B559" s="83"/>
    </row>
    <row r="560" spans="2:2" x14ac:dyDescent="0.3">
      <c r="B560" s="83"/>
    </row>
    <row r="561" spans="2:2" x14ac:dyDescent="0.3">
      <c r="B561" s="83"/>
    </row>
    <row r="562" spans="2:2" x14ac:dyDescent="0.3">
      <c r="B562" s="83"/>
    </row>
    <row r="563" spans="2:2" x14ac:dyDescent="0.3">
      <c r="B563" s="83"/>
    </row>
    <row r="564" spans="2:2" x14ac:dyDescent="0.3">
      <c r="B564" s="83"/>
    </row>
    <row r="565" spans="2:2" x14ac:dyDescent="0.3">
      <c r="B565" s="83"/>
    </row>
    <row r="566" spans="2:2" x14ac:dyDescent="0.3">
      <c r="B566" s="83"/>
    </row>
    <row r="567" spans="2:2" x14ac:dyDescent="0.3">
      <c r="B567" s="83"/>
    </row>
    <row r="568" spans="2:2" x14ac:dyDescent="0.3">
      <c r="B568" s="83"/>
    </row>
    <row r="569" spans="2:2" x14ac:dyDescent="0.3">
      <c r="B569" s="83"/>
    </row>
    <row r="570" spans="2:2" x14ac:dyDescent="0.3">
      <c r="B570" s="83"/>
    </row>
    <row r="571" spans="2:2" x14ac:dyDescent="0.3">
      <c r="B571" s="83"/>
    </row>
    <row r="572" spans="2:2" x14ac:dyDescent="0.3">
      <c r="B572" s="83"/>
    </row>
    <row r="573" spans="2:2" x14ac:dyDescent="0.3">
      <c r="B573" s="83"/>
    </row>
    <row r="574" spans="2:2" x14ac:dyDescent="0.3">
      <c r="B574" s="83"/>
    </row>
    <row r="575" spans="2:2" x14ac:dyDescent="0.3">
      <c r="B575" s="83"/>
    </row>
    <row r="576" spans="2:2" x14ac:dyDescent="0.3">
      <c r="B576" s="83"/>
    </row>
    <row r="577" spans="2:2" x14ac:dyDescent="0.3">
      <c r="B577" s="83"/>
    </row>
    <row r="578" spans="2:2" x14ac:dyDescent="0.3">
      <c r="B578" s="83"/>
    </row>
    <row r="579" spans="2:2" x14ac:dyDescent="0.3">
      <c r="B579" s="83"/>
    </row>
    <row r="580" spans="2:2" x14ac:dyDescent="0.3">
      <c r="B580" s="83"/>
    </row>
    <row r="581" spans="2:2" x14ac:dyDescent="0.3">
      <c r="B581" s="83"/>
    </row>
    <row r="582" spans="2:2" x14ac:dyDescent="0.3">
      <c r="B582" s="83"/>
    </row>
    <row r="583" spans="2:2" x14ac:dyDescent="0.3">
      <c r="B583" s="83"/>
    </row>
    <row r="584" spans="2:2" x14ac:dyDescent="0.3">
      <c r="B584" s="83"/>
    </row>
    <row r="585" spans="2:2" x14ac:dyDescent="0.3">
      <c r="B585" s="83"/>
    </row>
    <row r="586" spans="2:2" x14ac:dyDescent="0.3">
      <c r="B586" s="83"/>
    </row>
    <row r="587" spans="2:2" x14ac:dyDescent="0.3">
      <c r="B587" s="83"/>
    </row>
    <row r="588" spans="2:2" x14ac:dyDescent="0.3">
      <c r="B588" s="83"/>
    </row>
    <row r="589" spans="2:2" x14ac:dyDescent="0.3">
      <c r="B589" s="83"/>
    </row>
    <row r="590" spans="2:2" x14ac:dyDescent="0.3">
      <c r="B590" s="83"/>
    </row>
    <row r="591" spans="2:2" x14ac:dyDescent="0.3">
      <c r="B591" s="83"/>
    </row>
    <row r="592" spans="2:2" x14ac:dyDescent="0.3">
      <c r="B592" s="83"/>
    </row>
    <row r="593" spans="2:2" x14ac:dyDescent="0.3">
      <c r="B593" s="83"/>
    </row>
    <row r="594" spans="2:2" x14ac:dyDescent="0.3">
      <c r="B594" s="83"/>
    </row>
    <row r="595" spans="2:2" x14ac:dyDescent="0.3">
      <c r="B595" s="83"/>
    </row>
    <row r="596" spans="2:2" x14ac:dyDescent="0.3">
      <c r="B596" s="83"/>
    </row>
    <row r="597" spans="2:2" x14ac:dyDescent="0.3">
      <c r="B597" s="83"/>
    </row>
    <row r="598" spans="2:2" x14ac:dyDescent="0.3">
      <c r="B598" s="83"/>
    </row>
    <row r="599" spans="2:2" x14ac:dyDescent="0.3">
      <c r="B599" s="83"/>
    </row>
    <row r="600" spans="2:2" x14ac:dyDescent="0.3">
      <c r="B600" s="83"/>
    </row>
    <row r="601" spans="2:2" x14ac:dyDescent="0.3">
      <c r="B601" s="83"/>
    </row>
    <row r="602" spans="2:2" x14ac:dyDescent="0.3">
      <c r="B602" s="83"/>
    </row>
    <row r="603" spans="2:2" x14ac:dyDescent="0.3">
      <c r="B603" s="83"/>
    </row>
    <row r="604" spans="2:2" x14ac:dyDescent="0.3">
      <c r="B604" s="83"/>
    </row>
    <row r="605" spans="2:2" x14ac:dyDescent="0.3">
      <c r="B605" s="83"/>
    </row>
    <row r="606" spans="2:2" x14ac:dyDescent="0.3">
      <c r="B606" s="83"/>
    </row>
    <row r="607" spans="2:2" x14ac:dyDescent="0.3">
      <c r="B607" s="83"/>
    </row>
    <row r="608" spans="2:2" x14ac:dyDescent="0.3">
      <c r="B608" s="83"/>
    </row>
    <row r="609" spans="2:2" x14ac:dyDescent="0.3">
      <c r="B609" s="83"/>
    </row>
    <row r="610" spans="2:2" x14ac:dyDescent="0.3">
      <c r="B610" s="83"/>
    </row>
    <row r="611" spans="2:2" x14ac:dyDescent="0.3">
      <c r="B611" s="83"/>
    </row>
    <row r="612" spans="2:2" x14ac:dyDescent="0.3">
      <c r="B612" s="83"/>
    </row>
    <row r="613" spans="2:2" x14ac:dyDescent="0.3">
      <c r="B613" s="83"/>
    </row>
    <row r="614" spans="2:2" x14ac:dyDescent="0.3">
      <c r="B614" s="83"/>
    </row>
    <row r="615" spans="2:2" x14ac:dyDescent="0.3">
      <c r="B615" s="83"/>
    </row>
    <row r="616" spans="2:2" x14ac:dyDescent="0.3">
      <c r="B616" s="83"/>
    </row>
    <row r="617" spans="2:2" x14ac:dyDescent="0.3">
      <c r="B617" s="83"/>
    </row>
    <row r="618" spans="2:2" x14ac:dyDescent="0.3">
      <c r="B618" s="83"/>
    </row>
    <row r="619" spans="2:2" x14ac:dyDescent="0.3">
      <c r="B619" s="83"/>
    </row>
    <row r="620" spans="2:2" x14ac:dyDescent="0.3">
      <c r="B620" s="83"/>
    </row>
    <row r="621" spans="2:2" x14ac:dyDescent="0.3">
      <c r="B621" s="83"/>
    </row>
    <row r="622" spans="2:2" x14ac:dyDescent="0.3">
      <c r="B622" s="83"/>
    </row>
    <row r="623" spans="2:2" x14ac:dyDescent="0.3">
      <c r="B623" s="83"/>
    </row>
    <row r="624" spans="2:2" x14ac:dyDescent="0.3">
      <c r="B624" s="83"/>
    </row>
    <row r="625" spans="2:2" x14ac:dyDescent="0.3">
      <c r="B625" s="83"/>
    </row>
    <row r="626" spans="2:2" x14ac:dyDescent="0.3">
      <c r="B626" s="83"/>
    </row>
    <row r="627" spans="2:2" x14ac:dyDescent="0.3">
      <c r="B627" s="83"/>
    </row>
    <row r="628" spans="2:2" x14ac:dyDescent="0.3">
      <c r="B628" s="83"/>
    </row>
    <row r="629" spans="2:2" x14ac:dyDescent="0.3">
      <c r="B629" s="83"/>
    </row>
    <row r="630" spans="2:2" x14ac:dyDescent="0.3">
      <c r="B630" s="83"/>
    </row>
    <row r="631" spans="2:2" x14ac:dyDescent="0.3">
      <c r="B631" s="83"/>
    </row>
    <row r="632" spans="2:2" x14ac:dyDescent="0.3">
      <c r="B632" s="83"/>
    </row>
    <row r="633" spans="2:2" x14ac:dyDescent="0.3">
      <c r="B633" s="83"/>
    </row>
    <row r="634" spans="2:2" x14ac:dyDescent="0.3">
      <c r="B634" s="83"/>
    </row>
    <row r="635" spans="2:2" x14ac:dyDescent="0.3">
      <c r="B635" s="83"/>
    </row>
    <row r="636" spans="2:2" x14ac:dyDescent="0.3">
      <c r="B636" s="83"/>
    </row>
    <row r="637" spans="2:2" x14ac:dyDescent="0.3">
      <c r="B637" s="83"/>
    </row>
    <row r="638" spans="2:2" x14ac:dyDescent="0.3">
      <c r="B638" s="83"/>
    </row>
    <row r="639" spans="2:2" x14ac:dyDescent="0.3">
      <c r="B639" s="83"/>
    </row>
    <row r="640" spans="2:2" x14ac:dyDescent="0.3">
      <c r="B640" s="83"/>
    </row>
    <row r="641" spans="2:2" x14ac:dyDescent="0.3">
      <c r="B641" s="83"/>
    </row>
    <row r="642" spans="2:2" x14ac:dyDescent="0.3">
      <c r="B642" s="83"/>
    </row>
    <row r="643" spans="2:2" x14ac:dyDescent="0.3">
      <c r="B643" s="83"/>
    </row>
    <row r="644" spans="2:2" x14ac:dyDescent="0.3">
      <c r="B644" s="83"/>
    </row>
    <row r="645" spans="2:2" x14ac:dyDescent="0.3">
      <c r="B645" s="83"/>
    </row>
    <row r="646" spans="2:2" x14ac:dyDescent="0.3">
      <c r="B646" s="83"/>
    </row>
    <row r="647" spans="2:2" x14ac:dyDescent="0.3">
      <c r="B647" s="83"/>
    </row>
    <row r="648" spans="2:2" x14ac:dyDescent="0.3">
      <c r="B648" s="83"/>
    </row>
    <row r="649" spans="2:2" x14ac:dyDescent="0.3">
      <c r="B649" s="83"/>
    </row>
    <row r="650" spans="2:2" x14ac:dyDescent="0.3">
      <c r="B650" s="83"/>
    </row>
    <row r="651" spans="2:2" x14ac:dyDescent="0.3">
      <c r="B651" s="83"/>
    </row>
    <row r="652" spans="2:2" x14ac:dyDescent="0.3">
      <c r="B652" s="83"/>
    </row>
    <row r="653" spans="2:2" x14ac:dyDescent="0.3">
      <c r="B653" s="83"/>
    </row>
    <row r="654" spans="2:2" x14ac:dyDescent="0.3">
      <c r="B654" s="83"/>
    </row>
    <row r="655" spans="2:2" x14ac:dyDescent="0.3">
      <c r="B655" s="83"/>
    </row>
    <row r="656" spans="2:2" x14ac:dyDescent="0.3">
      <c r="B656" s="83"/>
    </row>
    <row r="657" spans="2:2" x14ac:dyDescent="0.3">
      <c r="B657" s="83"/>
    </row>
    <row r="658" spans="2:2" x14ac:dyDescent="0.3">
      <c r="B658" s="83"/>
    </row>
    <row r="659" spans="2:2" x14ac:dyDescent="0.3">
      <c r="B659" s="83"/>
    </row>
    <row r="660" spans="2:2" x14ac:dyDescent="0.3">
      <c r="B660" s="83"/>
    </row>
    <row r="661" spans="2:2" x14ac:dyDescent="0.3">
      <c r="B661" s="83"/>
    </row>
    <row r="662" spans="2:2" x14ac:dyDescent="0.3">
      <c r="B662" s="83"/>
    </row>
    <row r="663" spans="2:2" x14ac:dyDescent="0.3">
      <c r="B663" s="83"/>
    </row>
    <row r="664" spans="2:2" x14ac:dyDescent="0.3">
      <c r="B664" s="83"/>
    </row>
    <row r="665" spans="2:2" x14ac:dyDescent="0.3">
      <c r="B665" s="83"/>
    </row>
    <row r="666" spans="2:2" x14ac:dyDescent="0.3">
      <c r="B666" s="83"/>
    </row>
    <row r="667" spans="2:2" x14ac:dyDescent="0.3">
      <c r="B667" s="83"/>
    </row>
    <row r="668" spans="2:2" x14ac:dyDescent="0.3">
      <c r="B668" s="83"/>
    </row>
    <row r="669" spans="2:2" x14ac:dyDescent="0.3">
      <c r="B669" s="83"/>
    </row>
    <row r="670" spans="2:2" x14ac:dyDescent="0.3">
      <c r="B670" s="83"/>
    </row>
    <row r="671" spans="2:2" x14ac:dyDescent="0.3">
      <c r="B671" s="83"/>
    </row>
    <row r="672" spans="2:2" x14ac:dyDescent="0.3">
      <c r="B672" s="83"/>
    </row>
    <row r="673" spans="2:2" x14ac:dyDescent="0.3">
      <c r="B673" s="83"/>
    </row>
    <row r="674" spans="2:2" x14ac:dyDescent="0.3">
      <c r="B674" s="83"/>
    </row>
    <row r="675" spans="2:2" x14ac:dyDescent="0.3">
      <c r="B675" s="83"/>
    </row>
    <row r="676" spans="2:2" x14ac:dyDescent="0.3">
      <c r="B676" s="83"/>
    </row>
    <row r="677" spans="2:2" x14ac:dyDescent="0.3">
      <c r="B677" s="83"/>
    </row>
    <row r="678" spans="2:2" x14ac:dyDescent="0.3">
      <c r="B678" s="83"/>
    </row>
    <row r="679" spans="2:2" x14ac:dyDescent="0.3">
      <c r="B679" s="83"/>
    </row>
    <row r="680" spans="2:2" x14ac:dyDescent="0.3">
      <c r="B680" s="83"/>
    </row>
    <row r="681" spans="2:2" x14ac:dyDescent="0.3">
      <c r="B681" s="83"/>
    </row>
    <row r="682" spans="2:2" x14ac:dyDescent="0.3">
      <c r="B682" s="83"/>
    </row>
    <row r="683" spans="2:2" x14ac:dyDescent="0.3">
      <c r="B683" s="83"/>
    </row>
    <row r="684" spans="2:2" x14ac:dyDescent="0.3">
      <c r="B684" s="83"/>
    </row>
    <row r="685" spans="2:2" x14ac:dyDescent="0.3">
      <c r="B685" s="83"/>
    </row>
    <row r="686" spans="2:2" x14ac:dyDescent="0.3">
      <c r="B686" s="83"/>
    </row>
    <row r="687" spans="2:2" x14ac:dyDescent="0.3">
      <c r="B687" s="83"/>
    </row>
    <row r="688" spans="2:2" x14ac:dyDescent="0.3">
      <c r="B688" s="83"/>
    </row>
    <row r="689" spans="2:2" x14ac:dyDescent="0.3">
      <c r="B689" s="83"/>
    </row>
    <row r="690" spans="2:2" x14ac:dyDescent="0.3">
      <c r="B690" s="83"/>
    </row>
    <row r="691" spans="2:2" x14ac:dyDescent="0.3">
      <c r="B691" s="83"/>
    </row>
    <row r="692" spans="2:2" x14ac:dyDescent="0.3">
      <c r="B692" s="83"/>
    </row>
    <row r="693" spans="2:2" x14ac:dyDescent="0.3">
      <c r="B693" s="83"/>
    </row>
    <row r="694" spans="2:2" x14ac:dyDescent="0.3">
      <c r="B694" s="83"/>
    </row>
    <row r="695" spans="2:2" x14ac:dyDescent="0.3">
      <c r="B695" s="83"/>
    </row>
    <row r="696" spans="2:2" x14ac:dyDescent="0.3">
      <c r="B696" s="83"/>
    </row>
    <row r="697" spans="2:2" x14ac:dyDescent="0.3">
      <c r="B697" s="83"/>
    </row>
    <row r="698" spans="2:2" x14ac:dyDescent="0.3">
      <c r="B698" s="83"/>
    </row>
    <row r="699" spans="2:2" x14ac:dyDescent="0.3">
      <c r="B699" s="83"/>
    </row>
    <row r="700" spans="2:2" x14ac:dyDescent="0.3">
      <c r="B700" s="83"/>
    </row>
    <row r="701" spans="2:2" x14ac:dyDescent="0.3">
      <c r="B701" s="83"/>
    </row>
    <row r="702" spans="2:2" x14ac:dyDescent="0.3">
      <c r="B702" s="83"/>
    </row>
    <row r="703" spans="2:2" x14ac:dyDescent="0.3">
      <c r="B703" s="83"/>
    </row>
    <row r="704" spans="2:2" x14ac:dyDescent="0.3">
      <c r="B704" s="83"/>
    </row>
    <row r="705" spans="2:2" x14ac:dyDescent="0.3">
      <c r="B705" s="83"/>
    </row>
    <row r="706" spans="2:2" x14ac:dyDescent="0.3">
      <c r="B706" s="83"/>
    </row>
    <row r="707" spans="2:2" x14ac:dyDescent="0.3">
      <c r="B707" s="83"/>
    </row>
    <row r="708" spans="2:2" x14ac:dyDescent="0.3">
      <c r="B708" s="83"/>
    </row>
    <row r="709" spans="2:2" x14ac:dyDescent="0.3">
      <c r="B709" s="83"/>
    </row>
    <row r="710" spans="2:2" x14ac:dyDescent="0.3">
      <c r="B710" s="83"/>
    </row>
    <row r="711" spans="2:2" x14ac:dyDescent="0.3">
      <c r="B711" s="83"/>
    </row>
    <row r="712" spans="2:2" x14ac:dyDescent="0.3">
      <c r="B712" s="83"/>
    </row>
    <row r="713" spans="2:2" x14ac:dyDescent="0.3">
      <c r="B713" s="83"/>
    </row>
    <row r="714" spans="2:2" x14ac:dyDescent="0.3">
      <c r="B714" s="83"/>
    </row>
    <row r="715" spans="2:2" x14ac:dyDescent="0.3">
      <c r="B715" s="83"/>
    </row>
    <row r="716" spans="2:2" x14ac:dyDescent="0.3">
      <c r="B716" s="83"/>
    </row>
    <row r="717" spans="2:2" x14ac:dyDescent="0.3">
      <c r="B717" s="83"/>
    </row>
    <row r="718" spans="2:2" x14ac:dyDescent="0.3">
      <c r="B718" s="83"/>
    </row>
    <row r="719" spans="2:2" x14ac:dyDescent="0.3">
      <c r="B719" s="83"/>
    </row>
    <row r="720" spans="2:2" x14ac:dyDescent="0.3">
      <c r="B720" s="83"/>
    </row>
    <row r="721" spans="2:2" x14ac:dyDescent="0.3">
      <c r="B721" s="83"/>
    </row>
    <row r="722" spans="2:2" x14ac:dyDescent="0.3">
      <c r="B722" s="83"/>
    </row>
    <row r="723" spans="2:2" x14ac:dyDescent="0.3">
      <c r="B723" s="83"/>
    </row>
    <row r="724" spans="2:2" x14ac:dyDescent="0.3">
      <c r="B724" s="83"/>
    </row>
    <row r="725" spans="2:2" x14ac:dyDescent="0.3">
      <c r="B725" s="83"/>
    </row>
    <row r="726" spans="2:2" x14ac:dyDescent="0.3">
      <c r="B726" s="83"/>
    </row>
    <row r="727" spans="2:2" x14ac:dyDescent="0.3">
      <c r="B727" s="83"/>
    </row>
    <row r="728" spans="2:2" x14ac:dyDescent="0.3">
      <c r="B728" s="83"/>
    </row>
    <row r="729" spans="2:2" x14ac:dyDescent="0.3">
      <c r="B729" s="83"/>
    </row>
    <row r="730" spans="2:2" x14ac:dyDescent="0.3">
      <c r="B730" s="83"/>
    </row>
    <row r="731" spans="2:2" x14ac:dyDescent="0.3">
      <c r="B731" s="83"/>
    </row>
    <row r="732" spans="2:2" x14ac:dyDescent="0.3">
      <c r="B732" s="83"/>
    </row>
    <row r="733" spans="2:2" x14ac:dyDescent="0.3">
      <c r="B733" s="83"/>
    </row>
    <row r="734" spans="2:2" x14ac:dyDescent="0.3">
      <c r="B734" s="83"/>
    </row>
    <row r="735" spans="2:2" x14ac:dyDescent="0.3">
      <c r="B735" s="83"/>
    </row>
    <row r="736" spans="2:2" x14ac:dyDescent="0.3">
      <c r="B736" s="83"/>
    </row>
    <row r="737" spans="2:2" x14ac:dyDescent="0.3">
      <c r="B737" s="83"/>
    </row>
    <row r="738" spans="2:2" x14ac:dyDescent="0.3">
      <c r="B738" s="83"/>
    </row>
    <row r="739" spans="2:2" x14ac:dyDescent="0.3">
      <c r="B739" s="83"/>
    </row>
    <row r="740" spans="2:2" x14ac:dyDescent="0.3">
      <c r="B740" s="84"/>
    </row>
    <row r="741" spans="2:2" x14ac:dyDescent="0.3">
      <c r="B741" s="84"/>
    </row>
    <row r="742" spans="2:2" x14ac:dyDescent="0.3">
      <c r="B742" s="84"/>
    </row>
    <row r="743" spans="2:2" x14ac:dyDescent="0.3">
      <c r="B743" s="83"/>
    </row>
    <row r="744" spans="2:2" x14ac:dyDescent="0.3">
      <c r="B744" s="83"/>
    </row>
    <row r="745" spans="2:2" x14ac:dyDescent="0.3">
      <c r="B745" s="83"/>
    </row>
    <row r="746" spans="2:2" x14ac:dyDescent="0.3">
      <c r="B746" s="83"/>
    </row>
    <row r="747" spans="2:2" x14ac:dyDescent="0.3">
      <c r="B747" s="83"/>
    </row>
    <row r="748" spans="2:2" x14ac:dyDescent="0.3">
      <c r="B748" s="83"/>
    </row>
  </sheetData>
  <pageMargins left="0.511811024" right="0.511811024" top="0.78740157499999996" bottom="0.78740157499999996" header="0.31496062000000002" footer="0.31496062000000002"/>
  <pageSetup paperSize="9" orientation="portrait" r:id="rId1"/>
  <headerFooter>
    <oddHeader>&amp;R&amp;"Calibri"&amp;10&amp;K000000#interna&amp;1#</oddHeader>
  </headerFooter>
  <ignoredErrors>
    <ignoredError sqref="AA3:AA65" formula="1"/>
  </ignoredErrors>
  <drawing r:id="rId2"/>
  <legacyDrawing r:id="rId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7" tint="0.79998168889431442"/>
  </sheetPr>
  <dimension ref="A1:F252"/>
  <sheetViews>
    <sheetView topLeftCell="A221" workbookViewId="0">
      <selection activeCell="I497" sqref="I497"/>
    </sheetView>
  </sheetViews>
  <sheetFormatPr defaultRowHeight="14.4" x14ac:dyDescent="0.3"/>
  <cols>
    <col min="1" max="1" width="14.6640625" customWidth="1"/>
  </cols>
  <sheetData>
    <row r="1" spans="1:6" x14ac:dyDescent="0.3">
      <c r="A1" s="128" t="s">
        <v>6</v>
      </c>
      <c r="B1" s="236" t="s">
        <v>327</v>
      </c>
      <c r="C1" s="237"/>
      <c r="D1" s="237"/>
      <c r="E1" s="237"/>
      <c r="F1" s="237"/>
    </row>
    <row r="2" spans="1:6" ht="39.6" x14ac:dyDescent="0.3">
      <c r="A2" s="128" t="s">
        <v>328</v>
      </c>
      <c r="B2" s="128" t="s">
        <v>329</v>
      </c>
      <c r="C2" s="128" t="s">
        <v>330</v>
      </c>
      <c r="D2" s="128" t="s">
        <v>331</v>
      </c>
      <c r="E2" s="128" t="s">
        <v>332</v>
      </c>
      <c r="F2" s="128" t="s">
        <v>333</v>
      </c>
    </row>
    <row r="3" spans="1:6" x14ac:dyDescent="0.3">
      <c r="A3" s="129">
        <v>44564</v>
      </c>
      <c r="B3" s="125">
        <v>5.1799999999999999E-2</v>
      </c>
      <c r="C3" s="124">
        <v>5.2999999999999999E-2</v>
      </c>
      <c r="D3" s="126">
        <v>3312.53</v>
      </c>
      <c r="E3" s="126">
        <v>3301.38</v>
      </c>
      <c r="F3" s="127">
        <v>3301.38</v>
      </c>
    </row>
    <row r="4" spans="1:6" x14ac:dyDescent="0.3">
      <c r="A4" s="129">
        <v>44565</v>
      </c>
      <c r="B4" s="125">
        <v>5.1799999999999999E-2</v>
      </c>
      <c r="C4" s="124">
        <v>5.2999999999999999E-2</v>
      </c>
      <c r="D4" s="126">
        <v>3313.86</v>
      </c>
      <c r="E4" s="126">
        <v>3302.72</v>
      </c>
      <c r="F4" s="127">
        <v>3302.72</v>
      </c>
    </row>
    <row r="5" spans="1:6" x14ac:dyDescent="0.3">
      <c r="A5" s="129">
        <v>44566</v>
      </c>
      <c r="B5" s="125">
        <v>5.33E-2</v>
      </c>
      <c r="C5" s="124">
        <v>5.45E-2</v>
      </c>
      <c r="D5" s="126">
        <v>3302.94</v>
      </c>
      <c r="E5" s="126">
        <v>3291.85</v>
      </c>
      <c r="F5" s="127">
        <v>3291.85</v>
      </c>
    </row>
    <row r="6" spans="1:6" x14ac:dyDescent="0.3">
      <c r="A6" s="129">
        <v>44567</v>
      </c>
      <c r="B6" s="125">
        <v>5.4900000000000004E-2</v>
      </c>
      <c r="C6" s="124">
        <v>5.6100000000000004E-2</v>
      </c>
      <c r="D6" s="126">
        <v>3291.31</v>
      </c>
      <c r="E6" s="126">
        <v>3280.27</v>
      </c>
      <c r="F6" s="127">
        <v>3280.27</v>
      </c>
    </row>
    <row r="7" spans="1:6" x14ac:dyDescent="0.3">
      <c r="A7" s="129">
        <v>44568</v>
      </c>
      <c r="B7" s="125">
        <v>5.4699999999999999E-2</v>
      </c>
      <c r="C7" s="124">
        <v>5.5899999999999998E-2</v>
      </c>
      <c r="D7" s="126">
        <v>3295.6</v>
      </c>
      <c r="E7" s="126">
        <v>3283.24</v>
      </c>
      <c r="F7" s="127">
        <v>3283.24</v>
      </c>
    </row>
    <row r="8" spans="1:6" x14ac:dyDescent="0.3">
      <c r="A8" s="129">
        <v>44571</v>
      </c>
      <c r="B8" s="125">
        <v>5.5599999999999997E-2</v>
      </c>
      <c r="C8" s="124">
        <v>5.6799999999999996E-2</v>
      </c>
      <c r="D8" s="126">
        <v>3289.69</v>
      </c>
      <c r="E8" s="126">
        <v>3278.68</v>
      </c>
      <c r="F8" s="127">
        <v>3278.68</v>
      </c>
    </row>
    <row r="9" spans="1:6" x14ac:dyDescent="0.3">
      <c r="A9" s="129">
        <v>44572</v>
      </c>
      <c r="B9" s="125">
        <v>5.5899999999999998E-2</v>
      </c>
      <c r="C9" s="124">
        <v>5.7099999999999998E-2</v>
      </c>
      <c r="D9" s="126">
        <v>3291.89</v>
      </c>
      <c r="E9" s="126">
        <v>3280.77</v>
      </c>
      <c r="F9" s="127">
        <v>3280.77</v>
      </c>
    </row>
    <row r="10" spans="1:6" x14ac:dyDescent="0.3">
      <c r="A10" s="129">
        <v>44573</v>
      </c>
      <c r="B10" s="125">
        <v>5.5800000000000002E-2</v>
      </c>
      <c r="C10" s="124">
        <v>5.7000000000000002E-2</v>
      </c>
      <c r="D10" s="126">
        <v>3294.18</v>
      </c>
      <c r="E10" s="126">
        <v>3283.06</v>
      </c>
      <c r="F10" s="127">
        <v>3283.06</v>
      </c>
    </row>
    <row r="11" spans="1:6" x14ac:dyDescent="0.3">
      <c r="A11" s="129">
        <v>44574</v>
      </c>
      <c r="B11" s="125">
        <v>5.5099999999999996E-2</v>
      </c>
      <c r="C11" s="124">
        <v>5.6299999999999996E-2</v>
      </c>
      <c r="D11" s="126">
        <v>3301.29</v>
      </c>
      <c r="E11" s="126">
        <v>3290.16</v>
      </c>
      <c r="F11" s="127">
        <v>3290.16</v>
      </c>
    </row>
    <row r="12" spans="1:6" x14ac:dyDescent="0.3">
      <c r="A12" s="129">
        <v>44575</v>
      </c>
      <c r="B12" s="125">
        <v>5.5E-2</v>
      </c>
      <c r="C12" s="124">
        <v>5.62E-2</v>
      </c>
      <c r="D12" s="126">
        <v>3304.52</v>
      </c>
      <c r="E12" s="126">
        <v>3292.46</v>
      </c>
      <c r="F12" s="127">
        <v>3292.46</v>
      </c>
    </row>
    <row r="13" spans="1:6" x14ac:dyDescent="0.3">
      <c r="A13" s="129">
        <v>44578</v>
      </c>
      <c r="B13" s="125">
        <v>5.5300000000000002E-2</v>
      </c>
      <c r="C13" s="124">
        <v>5.6500000000000002E-2</v>
      </c>
      <c r="D13" s="126">
        <v>3303.3</v>
      </c>
      <c r="E13" s="126">
        <v>3292.49</v>
      </c>
      <c r="F13" s="127">
        <v>3292.49</v>
      </c>
    </row>
    <row r="14" spans="1:6" x14ac:dyDescent="0.3">
      <c r="A14" s="129">
        <v>44579</v>
      </c>
      <c r="B14" s="125">
        <v>5.5899999999999998E-2</v>
      </c>
      <c r="C14" s="124">
        <v>5.7099999999999998E-2</v>
      </c>
      <c r="D14" s="126">
        <v>3299.68</v>
      </c>
      <c r="E14" s="126">
        <v>3288.9</v>
      </c>
      <c r="F14" s="127">
        <v>3288.9</v>
      </c>
    </row>
    <row r="15" spans="1:6" x14ac:dyDescent="0.3">
      <c r="A15" s="129">
        <v>44580</v>
      </c>
      <c r="B15" s="125">
        <v>5.62E-2</v>
      </c>
      <c r="C15" s="124">
        <v>5.74E-2</v>
      </c>
      <c r="D15" s="126">
        <v>3298.47</v>
      </c>
      <c r="E15" s="126">
        <v>3287.71</v>
      </c>
      <c r="F15" s="127">
        <v>3287.71</v>
      </c>
    </row>
    <row r="16" spans="1:6" x14ac:dyDescent="0.3">
      <c r="A16" s="129">
        <v>44581</v>
      </c>
      <c r="B16" s="125">
        <v>5.45E-2</v>
      </c>
      <c r="C16" s="124">
        <v>5.57E-2</v>
      </c>
      <c r="D16" s="126">
        <v>3313.26</v>
      </c>
      <c r="E16" s="126">
        <v>3302.47</v>
      </c>
      <c r="F16" s="127">
        <v>3302.47</v>
      </c>
    </row>
    <row r="17" spans="1:6" x14ac:dyDescent="0.3">
      <c r="A17" s="129">
        <v>44582</v>
      </c>
      <c r="B17" s="125">
        <v>5.5300000000000002E-2</v>
      </c>
      <c r="C17" s="124">
        <v>5.6500000000000002E-2</v>
      </c>
      <c r="D17" s="126">
        <v>3309</v>
      </c>
      <c r="E17" s="126">
        <v>3297.28</v>
      </c>
      <c r="F17" s="127">
        <v>3297.28</v>
      </c>
    </row>
    <row r="18" spans="1:6" x14ac:dyDescent="0.3">
      <c r="A18" s="129">
        <v>44585</v>
      </c>
      <c r="B18" s="125">
        <v>5.45E-2</v>
      </c>
      <c r="C18" s="124">
        <v>5.57E-2</v>
      </c>
      <c r="D18" s="126">
        <v>3316.57</v>
      </c>
      <c r="E18" s="126">
        <v>3305.8</v>
      </c>
      <c r="F18" s="127">
        <v>3305.8</v>
      </c>
    </row>
    <row r="19" spans="1:6" x14ac:dyDescent="0.3">
      <c r="A19" s="129">
        <v>44586</v>
      </c>
      <c r="B19" s="125">
        <v>5.3800000000000001E-2</v>
      </c>
      <c r="C19" s="124">
        <v>5.5E-2</v>
      </c>
      <c r="D19" s="126">
        <v>3323.35</v>
      </c>
      <c r="E19" s="126">
        <v>3312.58</v>
      </c>
      <c r="F19" s="127">
        <v>3312.58</v>
      </c>
    </row>
    <row r="20" spans="1:6" x14ac:dyDescent="0.3">
      <c r="A20" s="129">
        <v>44587</v>
      </c>
      <c r="B20" s="125">
        <v>5.4600000000000003E-2</v>
      </c>
      <c r="C20" s="124">
        <v>5.5800000000000002E-2</v>
      </c>
      <c r="D20" s="126">
        <v>3318.13</v>
      </c>
      <c r="E20" s="126">
        <v>3307.39</v>
      </c>
      <c r="F20" s="127">
        <v>3307.39</v>
      </c>
    </row>
    <row r="21" spans="1:6" x14ac:dyDescent="0.3">
      <c r="A21" s="129">
        <v>44588</v>
      </c>
      <c r="B21" s="125">
        <v>5.5E-2</v>
      </c>
      <c r="C21" s="124">
        <v>5.62E-2</v>
      </c>
      <c r="D21" s="126">
        <v>3317.51</v>
      </c>
      <c r="E21" s="126">
        <v>3306.68</v>
      </c>
      <c r="F21" s="127">
        <v>3306.68</v>
      </c>
    </row>
    <row r="22" spans="1:6" x14ac:dyDescent="0.3">
      <c r="A22" s="129">
        <v>44589</v>
      </c>
      <c r="B22" s="125">
        <v>5.5999999999999994E-2</v>
      </c>
      <c r="C22" s="124">
        <v>5.7200000000000001E-2</v>
      </c>
      <c r="D22" s="126">
        <v>3312.04</v>
      </c>
      <c r="E22" s="126">
        <v>3300.06</v>
      </c>
      <c r="F22" s="127">
        <v>3300.06</v>
      </c>
    </row>
    <row r="23" spans="1:6" x14ac:dyDescent="0.3">
      <c r="A23" s="129">
        <v>44592</v>
      </c>
      <c r="B23" s="125">
        <v>5.6399999999999999E-2</v>
      </c>
      <c r="C23" s="124">
        <v>5.7599999999999998E-2</v>
      </c>
      <c r="D23" s="126">
        <v>3310.18</v>
      </c>
      <c r="E23" s="126">
        <v>3299.39</v>
      </c>
      <c r="F23" s="127">
        <v>3299.39</v>
      </c>
    </row>
    <row r="24" spans="1:6" x14ac:dyDescent="0.3">
      <c r="A24" s="129">
        <v>44593</v>
      </c>
      <c r="B24" s="125">
        <v>5.6100000000000004E-2</v>
      </c>
      <c r="C24" s="124">
        <v>5.7300000000000004E-2</v>
      </c>
      <c r="D24" s="126">
        <v>3313.85</v>
      </c>
      <c r="E24" s="126">
        <v>3303.07</v>
      </c>
      <c r="F24" s="127">
        <v>3303.07</v>
      </c>
    </row>
    <row r="25" spans="1:6" x14ac:dyDescent="0.3">
      <c r="A25" s="129">
        <v>44594</v>
      </c>
      <c r="B25" s="125">
        <v>5.5599999999999997E-2</v>
      </c>
      <c r="C25" s="124">
        <v>5.6799999999999996E-2</v>
      </c>
      <c r="D25" s="126">
        <v>3319.11</v>
      </c>
      <c r="E25" s="126">
        <v>3308.32</v>
      </c>
      <c r="F25" s="127">
        <v>3308.32</v>
      </c>
    </row>
    <row r="26" spans="1:6" x14ac:dyDescent="0.3">
      <c r="A26" s="129">
        <v>44595</v>
      </c>
      <c r="B26" s="125">
        <v>5.4299999999999994E-2</v>
      </c>
      <c r="C26" s="124">
        <v>5.5500000000000001E-2</v>
      </c>
      <c r="D26" s="126">
        <v>3330.7</v>
      </c>
      <c r="E26" s="126">
        <v>3319.9</v>
      </c>
      <c r="F26" s="127">
        <v>3319.9</v>
      </c>
    </row>
    <row r="27" spans="1:6" x14ac:dyDescent="0.3">
      <c r="A27" s="129">
        <v>44596</v>
      </c>
      <c r="B27" s="125">
        <v>5.3399999999999996E-2</v>
      </c>
      <c r="C27" s="124">
        <v>5.4600000000000003E-2</v>
      </c>
      <c r="D27" s="126">
        <v>3340.32</v>
      </c>
      <c r="E27" s="126">
        <v>3328.32</v>
      </c>
      <c r="F27" s="127">
        <v>3328.32</v>
      </c>
    </row>
    <row r="28" spans="1:6" x14ac:dyDescent="0.3">
      <c r="A28" s="129">
        <v>44599</v>
      </c>
      <c r="B28" s="125">
        <v>5.4199999999999998E-2</v>
      </c>
      <c r="C28" s="124">
        <v>5.5399999999999998E-2</v>
      </c>
      <c r="D28" s="126">
        <v>3335.25</v>
      </c>
      <c r="E28" s="126">
        <v>3324.47</v>
      </c>
      <c r="F28" s="127">
        <v>3324.47</v>
      </c>
    </row>
    <row r="29" spans="1:6" x14ac:dyDescent="0.3">
      <c r="A29" s="129">
        <v>44600</v>
      </c>
      <c r="B29" s="125">
        <v>5.4400000000000004E-2</v>
      </c>
      <c r="C29" s="124">
        <v>5.5599999999999997E-2</v>
      </c>
      <c r="D29" s="126">
        <v>3334.96</v>
      </c>
      <c r="E29" s="126">
        <v>3324.19</v>
      </c>
      <c r="F29" s="127">
        <v>3324.19</v>
      </c>
    </row>
    <row r="30" spans="1:6" x14ac:dyDescent="0.3">
      <c r="A30" s="129">
        <v>44601</v>
      </c>
      <c r="B30" s="125">
        <v>5.45E-2</v>
      </c>
      <c r="C30" s="124">
        <v>5.57E-2</v>
      </c>
      <c r="D30" s="126">
        <v>3335.18</v>
      </c>
      <c r="E30" s="126">
        <v>3324.44</v>
      </c>
      <c r="F30" s="127">
        <v>3324.44</v>
      </c>
    </row>
    <row r="31" spans="1:6" x14ac:dyDescent="0.3">
      <c r="A31" s="129">
        <v>44602</v>
      </c>
      <c r="B31" s="125">
        <v>5.6299999999999996E-2</v>
      </c>
      <c r="C31" s="124">
        <v>5.7500000000000002E-2</v>
      </c>
      <c r="D31" s="126">
        <v>3322.31</v>
      </c>
      <c r="E31" s="126">
        <v>3311.62</v>
      </c>
      <c r="F31" s="127">
        <v>3311.62</v>
      </c>
    </row>
    <row r="32" spans="1:6" x14ac:dyDescent="0.3">
      <c r="A32" s="129">
        <v>44603</v>
      </c>
      <c r="B32" s="125">
        <v>5.62E-2</v>
      </c>
      <c r="C32" s="124">
        <v>5.74E-2</v>
      </c>
      <c r="D32" s="126">
        <v>3325.55</v>
      </c>
      <c r="E32" s="126">
        <v>3313.71</v>
      </c>
      <c r="F32" s="127">
        <v>3313.71</v>
      </c>
    </row>
    <row r="33" spans="1:6" x14ac:dyDescent="0.3">
      <c r="A33" s="129">
        <v>44606</v>
      </c>
      <c r="B33" s="125">
        <v>5.67E-2</v>
      </c>
      <c r="C33" s="124">
        <v>5.79E-2</v>
      </c>
      <c r="D33" s="126">
        <v>3322.94</v>
      </c>
      <c r="E33" s="126">
        <v>3312.27</v>
      </c>
      <c r="F33" s="127">
        <v>3312.27</v>
      </c>
    </row>
    <row r="34" spans="1:6" x14ac:dyDescent="0.3">
      <c r="A34" s="129">
        <v>44607</v>
      </c>
      <c r="B34" s="125">
        <v>5.5999999999999994E-2</v>
      </c>
      <c r="C34" s="124">
        <v>5.7200000000000001E-2</v>
      </c>
      <c r="D34" s="126">
        <v>3330.19</v>
      </c>
      <c r="E34" s="126">
        <v>3319.04</v>
      </c>
      <c r="F34" s="127">
        <v>3319.04</v>
      </c>
    </row>
    <row r="35" spans="1:6" x14ac:dyDescent="0.3">
      <c r="A35" s="129">
        <v>44608</v>
      </c>
      <c r="B35" s="125">
        <v>5.5099999999999996E-2</v>
      </c>
      <c r="C35" s="124">
        <v>5.6299999999999996E-2</v>
      </c>
      <c r="D35" s="126">
        <v>3339.01</v>
      </c>
      <c r="E35" s="126">
        <v>3327.84</v>
      </c>
      <c r="F35" s="127">
        <v>3327.84</v>
      </c>
    </row>
    <row r="36" spans="1:6" x14ac:dyDescent="0.3">
      <c r="A36" s="129">
        <v>44609</v>
      </c>
      <c r="B36" s="125">
        <v>5.5599999999999997E-2</v>
      </c>
      <c r="C36" s="124">
        <v>5.6799999999999996E-2</v>
      </c>
      <c r="D36" s="126">
        <v>3336.87</v>
      </c>
      <c r="E36" s="126">
        <v>3325.73</v>
      </c>
      <c r="F36" s="127">
        <v>3325.73</v>
      </c>
    </row>
    <row r="37" spans="1:6" x14ac:dyDescent="0.3">
      <c r="A37" s="129">
        <v>44610</v>
      </c>
      <c r="B37" s="125">
        <v>5.6100000000000004E-2</v>
      </c>
      <c r="C37" s="124">
        <v>5.7300000000000004E-2</v>
      </c>
      <c r="D37" s="126">
        <v>3336.85</v>
      </c>
      <c r="E37" s="126">
        <v>3323.62</v>
      </c>
      <c r="F37" s="127">
        <v>3323.62</v>
      </c>
    </row>
    <row r="38" spans="1:6" x14ac:dyDescent="0.3">
      <c r="A38" s="129">
        <v>44613</v>
      </c>
      <c r="B38" s="125">
        <v>5.6399999999999999E-2</v>
      </c>
      <c r="C38" s="124">
        <v>5.7599999999999998E-2</v>
      </c>
      <c r="D38" s="126">
        <v>3336.29</v>
      </c>
      <c r="E38" s="126">
        <v>3325.18</v>
      </c>
      <c r="F38" s="127">
        <v>3325.18</v>
      </c>
    </row>
    <row r="39" spans="1:6" x14ac:dyDescent="0.3">
      <c r="A39" s="129">
        <v>44614</v>
      </c>
      <c r="B39" s="125">
        <v>5.6500000000000002E-2</v>
      </c>
      <c r="C39" s="124">
        <v>5.7699999999999994E-2</v>
      </c>
      <c r="D39" s="126">
        <v>3337.3</v>
      </c>
      <c r="E39" s="126">
        <v>3326.2</v>
      </c>
      <c r="F39" s="127">
        <v>3326.2</v>
      </c>
    </row>
    <row r="40" spans="1:6" x14ac:dyDescent="0.3">
      <c r="A40" s="129">
        <v>44615</v>
      </c>
      <c r="B40" s="125">
        <v>5.7300000000000004E-2</v>
      </c>
      <c r="C40" s="124">
        <v>5.8499999999999996E-2</v>
      </c>
      <c r="D40" s="126">
        <v>3332.88</v>
      </c>
      <c r="E40" s="126">
        <v>3321.81</v>
      </c>
      <c r="F40" s="127">
        <v>3321.81</v>
      </c>
    </row>
    <row r="41" spans="1:6" x14ac:dyDescent="0.3">
      <c r="A41" s="129">
        <v>44616</v>
      </c>
      <c r="B41" s="125">
        <v>5.7099999999999998E-2</v>
      </c>
      <c r="C41" s="124">
        <v>5.8299999999999998E-2</v>
      </c>
      <c r="D41" s="126">
        <v>3336.81</v>
      </c>
      <c r="E41" s="126">
        <v>3325.68</v>
      </c>
      <c r="F41" s="127">
        <v>3325.68</v>
      </c>
    </row>
    <row r="42" spans="1:6" x14ac:dyDescent="0.3">
      <c r="A42" s="129">
        <v>44617</v>
      </c>
      <c r="B42" s="125">
        <v>5.6399999999999999E-2</v>
      </c>
      <c r="C42" s="124">
        <v>5.7599999999999998E-2</v>
      </c>
      <c r="D42" s="126">
        <v>3348.55</v>
      </c>
      <c r="E42" s="126">
        <v>3332.94</v>
      </c>
      <c r="F42" s="127">
        <v>3332.94</v>
      </c>
    </row>
    <row r="43" spans="1:6" x14ac:dyDescent="0.3">
      <c r="A43" s="129">
        <v>44622</v>
      </c>
      <c r="B43" s="125">
        <v>5.7500000000000002E-2</v>
      </c>
      <c r="C43" s="124">
        <v>5.8700000000000002E-2</v>
      </c>
      <c r="D43" s="126">
        <v>3341.89</v>
      </c>
      <c r="E43" s="126">
        <v>3330.77</v>
      </c>
      <c r="F43" s="127">
        <v>3330.77</v>
      </c>
    </row>
    <row r="44" spans="1:6" x14ac:dyDescent="0.3">
      <c r="A44" s="129">
        <v>44623</v>
      </c>
      <c r="B44" s="125">
        <v>5.7500000000000002E-2</v>
      </c>
      <c r="C44" s="124">
        <v>5.8700000000000002E-2</v>
      </c>
      <c r="D44" s="126">
        <v>3343.75</v>
      </c>
      <c r="E44" s="126">
        <v>3332.64</v>
      </c>
      <c r="F44" s="127">
        <v>3332.64</v>
      </c>
    </row>
    <row r="45" spans="1:6" x14ac:dyDescent="0.3">
      <c r="A45" s="129">
        <v>44624</v>
      </c>
      <c r="B45" s="125">
        <v>5.7699999999999994E-2</v>
      </c>
      <c r="C45" s="124">
        <v>5.8899999999999994E-2</v>
      </c>
      <c r="D45" s="126">
        <v>3346.3</v>
      </c>
      <c r="E45" s="126">
        <v>3332.97</v>
      </c>
      <c r="F45" s="127">
        <v>3332.97</v>
      </c>
    </row>
    <row r="46" spans="1:6" x14ac:dyDescent="0.3">
      <c r="A46" s="129">
        <v>44627</v>
      </c>
      <c r="B46" s="125">
        <v>5.8799999999999998E-2</v>
      </c>
      <c r="C46" s="124">
        <v>0.06</v>
      </c>
      <c r="D46" s="126">
        <v>3339.71</v>
      </c>
      <c r="E46" s="126">
        <v>3328.64</v>
      </c>
      <c r="F46" s="127">
        <v>3328.64</v>
      </c>
    </row>
    <row r="47" spans="1:6" x14ac:dyDescent="0.3">
      <c r="A47" s="129">
        <v>44628</v>
      </c>
      <c r="B47" s="125">
        <v>5.8899999999999994E-2</v>
      </c>
      <c r="C47" s="124">
        <v>6.0100000000000001E-2</v>
      </c>
      <c r="D47" s="126">
        <v>3340.82</v>
      </c>
      <c r="E47" s="126">
        <v>3329.76</v>
      </c>
      <c r="F47" s="127">
        <v>3329.76</v>
      </c>
    </row>
    <row r="48" spans="1:6" x14ac:dyDescent="0.3">
      <c r="A48" s="129">
        <v>44629</v>
      </c>
      <c r="B48" s="125">
        <v>5.7200000000000001E-2</v>
      </c>
      <c r="C48" s="124">
        <v>5.8400000000000001E-2</v>
      </c>
      <c r="D48" s="126">
        <v>3355.74</v>
      </c>
      <c r="E48" s="126">
        <v>3344.65</v>
      </c>
      <c r="F48" s="127">
        <v>3344.65</v>
      </c>
    </row>
    <row r="49" spans="1:6" x14ac:dyDescent="0.3">
      <c r="A49" s="129">
        <v>44630</v>
      </c>
      <c r="B49" s="125">
        <v>5.7599999999999998E-2</v>
      </c>
      <c r="C49" s="124">
        <v>5.8799999999999998E-2</v>
      </c>
      <c r="D49" s="126">
        <v>3354.53</v>
      </c>
      <c r="E49" s="126">
        <v>3343.46</v>
      </c>
      <c r="F49" s="127">
        <v>3343.46</v>
      </c>
    </row>
    <row r="50" spans="1:6" x14ac:dyDescent="0.3">
      <c r="A50" s="129">
        <v>44631</v>
      </c>
      <c r="B50" s="125">
        <v>5.7200000000000001E-2</v>
      </c>
      <c r="C50" s="124">
        <v>5.8400000000000001E-2</v>
      </c>
      <c r="D50" s="126">
        <v>3363.96</v>
      </c>
      <c r="E50" s="126">
        <v>3350.39</v>
      </c>
      <c r="F50" s="127">
        <v>3350.39</v>
      </c>
    </row>
    <row r="51" spans="1:6" x14ac:dyDescent="0.3">
      <c r="A51" s="129">
        <v>44634</v>
      </c>
      <c r="B51" s="125">
        <v>5.8099999999999999E-2</v>
      </c>
      <c r="C51" s="124">
        <v>5.9299999999999999E-2</v>
      </c>
      <c r="D51" s="126">
        <v>3359.01</v>
      </c>
      <c r="E51" s="126">
        <v>3347.87</v>
      </c>
      <c r="F51" s="127">
        <v>3347.87</v>
      </c>
    </row>
    <row r="52" spans="1:6" x14ac:dyDescent="0.3">
      <c r="A52" s="129">
        <v>44635</v>
      </c>
      <c r="B52" s="125">
        <v>5.7200000000000001E-2</v>
      </c>
      <c r="C52" s="124">
        <v>5.8400000000000001E-2</v>
      </c>
      <c r="D52" s="126">
        <v>3367.67</v>
      </c>
      <c r="E52" s="126">
        <v>3356.71</v>
      </c>
      <c r="F52" s="127">
        <v>3356.71</v>
      </c>
    </row>
    <row r="53" spans="1:6" x14ac:dyDescent="0.3">
      <c r="A53" s="129">
        <v>44636</v>
      </c>
      <c r="B53" s="125">
        <v>5.7099999999999998E-2</v>
      </c>
      <c r="C53" s="124">
        <v>5.8299999999999998E-2</v>
      </c>
      <c r="D53" s="126">
        <v>3370.2</v>
      </c>
      <c r="E53" s="126">
        <v>3359.24</v>
      </c>
      <c r="F53" s="127">
        <v>3359.24</v>
      </c>
    </row>
    <row r="54" spans="1:6" x14ac:dyDescent="0.3">
      <c r="A54" s="129">
        <v>44637</v>
      </c>
      <c r="B54" s="125">
        <v>5.7699999999999994E-2</v>
      </c>
      <c r="C54" s="124">
        <v>5.8899999999999994E-2</v>
      </c>
      <c r="D54" s="126">
        <v>3367.37</v>
      </c>
      <c r="E54" s="126">
        <v>3356.44</v>
      </c>
      <c r="F54" s="127">
        <v>3356.44</v>
      </c>
    </row>
    <row r="55" spans="1:6" x14ac:dyDescent="0.3">
      <c r="A55" s="129">
        <v>44638</v>
      </c>
      <c r="B55" s="125">
        <v>5.6600000000000004E-2</v>
      </c>
      <c r="C55" s="124">
        <v>5.7800000000000004E-2</v>
      </c>
      <c r="D55" s="126">
        <v>3379.58</v>
      </c>
      <c r="E55" s="126">
        <v>3366.61</v>
      </c>
      <c r="F55" s="127">
        <v>3366.61</v>
      </c>
    </row>
    <row r="56" spans="1:6" x14ac:dyDescent="0.3">
      <c r="A56" s="129">
        <v>44641</v>
      </c>
      <c r="B56" s="125">
        <v>5.5500000000000001E-2</v>
      </c>
      <c r="C56" s="124">
        <v>5.67E-2</v>
      </c>
      <c r="D56" s="126">
        <v>3389.78</v>
      </c>
      <c r="E56" s="126">
        <v>3378.82</v>
      </c>
      <c r="F56" s="127">
        <v>3378.82</v>
      </c>
    </row>
    <row r="57" spans="1:6" x14ac:dyDescent="0.3">
      <c r="A57" s="129">
        <v>44642</v>
      </c>
      <c r="B57" s="125">
        <v>5.4100000000000002E-2</v>
      </c>
      <c r="C57" s="124">
        <v>5.5300000000000002E-2</v>
      </c>
      <c r="D57" s="126">
        <v>3402.3</v>
      </c>
      <c r="E57" s="126">
        <v>3391.32</v>
      </c>
      <c r="F57" s="127">
        <v>3391.32</v>
      </c>
    </row>
    <row r="58" spans="1:6" x14ac:dyDescent="0.3">
      <c r="A58" s="129">
        <v>44643</v>
      </c>
      <c r="B58" s="125">
        <v>5.3600000000000002E-2</v>
      </c>
      <c r="C58" s="124">
        <v>5.4800000000000001E-2</v>
      </c>
      <c r="D58" s="126">
        <v>3407.9</v>
      </c>
      <c r="E58" s="126">
        <v>3396.91</v>
      </c>
      <c r="F58" s="127">
        <v>3396.91</v>
      </c>
    </row>
    <row r="59" spans="1:6" x14ac:dyDescent="0.3">
      <c r="A59" s="129">
        <v>44644</v>
      </c>
      <c r="B59" s="125">
        <v>5.3399999999999996E-2</v>
      </c>
      <c r="C59" s="124">
        <v>5.4600000000000003E-2</v>
      </c>
      <c r="D59" s="126">
        <v>3411.17</v>
      </c>
      <c r="E59" s="126">
        <v>3400.2</v>
      </c>
      <c r="F59" s="127">
        <v>3400.2</v>
      </c>
    </row>
    <row r="60" spans="1:6" x14ac:dyDescent="0.3">
      <c r="A60" s="129">
        <v>44645</v>
      </c>
      <c r="B60" s="125">
        <v>4.9599999999999998E-2</v>
      </c>
      <c r="C60" s="124">
        <v>5.0799999999999998E-2</v>
      </c>
      <c r="D60" s="126">
        <v>3444.43</v>
      </c>
      <c r="E60" s="126">
        <v>3431.3</v>
      </c>
      <c r="F60" s="127">
        <v>3431.3</v>
      </c>
    </row>
    <row r="61" spans="1:6" x14ac:dyDescent="0.3">
      <c r="A61" s="129">
        <v>44648</v>
      </c>
      <c r="B61" s="125">
        <v>4.9000000000000002E-2</v>
      </c>
      <c r="C61" s="124">
        <v>5.0199999999999995E-2</v>
      </c>
      <c r="D61" s="126">
        <v>3456.06</v>
      </c>
      <c r="E61" s="126">
        <v>3444.61</v>
      </c>
      <c r="F61" s="127">
        <v>3444.61</v>
      </c>
    </row>
    <row r="62" spans="1:6" x14ac:dyDescent="0.3">
      <c r="A62" s="129">
        <v>44649</v>
      </c>
      <c r="B62" s="125">
        <v>4.9299999999999997E-2</v>
      </c>
      <c r="C62" s="124">
        <v>5.0499999999999996E-2</v>
      </c>
      <c r="D62" s="126">
        <v>3455.79</v>
      </c>
      <c r="E62" s="126">
        <v>3444.36</v>
      </c>
      <c r="F62" s="127">
        <v>3444.36</v>
      </c>
    </row>
    <row r="63" spans="1:6" x14ac:dyDescent="0.3">
      <c r="A63" s="129">
        <v>44650</v>
      </c>
      <c r="B63" s="125">
        <v>5.1399999999999994E-2</v>
      </c>
      <c r="C63" s="124">
        <v>5.2600000000000001E-2</v>
      </c>
      <c r="D63" s="126">
        <v>3441.55</v>
      </c>
      <c r="E63" s="126">
        <v>3430.18</v>
      </c>
      <c r="F63" s="127">
        <v>3430.18</v>
      </c>
    </row>
    <row r="64" spans="1:6" x14ac:dyDescent="0.3">
      <c r="A64" s="129">
        <v>44651</v>
      </c>
      <c r="B64" s="125">
        <v>5.16E-2</v>
      </c>
      <c r="C64" s="124">
        <v>5.28E-2</v>
      </c>
      <c r="D64" s="126">
        <v>3442.11</v>
      </c>
      <c r="E64" s="126">
        <v>3430.74</v>
      </c>
      <c r="F64" s="127">
        <v>3430.74</v>
      </c>
    </row>
    <row r="65" spans="1:6" x14ac:dyDescent="0.3">
      <c r="A65" s="129">
        <v>44652</v>
      </c>
      <c r="B65" s="125">
        <v>5.2499999999999998E-2</v>
      </c>
      <c r="C65" s="124">
        <v>5.3699999999999998E-2</v>
      </c>
      <c r="D65" s="126">
        <v>3440.09</v>
      </c>
      <c r="E65" s="126">
        <v>3425.93</v>
      </c>
      <c r="F65" s="127">
        <v>3425.93</v>
      </c>
    </row>
    <row r="66" spans="1:6" x14ac:dyDescent="0.3">
      <c r="A66" s="129">
        <v>44655</v>
      </c>
      <c r="B66" s="125">
        <v>5.1399999999999994E-2</v>
      </c>
      <c r="C66" s="124">
        <v>5.2600000000000001E-2</v>
      </c>
      <c r="D66" s="126">
        <v>3450.68</v>
      </c>
      <c r="E66" s="126">
        <v>3439.32</v>
      </c>
      <c r="F66" s="127">
        <v>3439.32</v>
      </c>
    </row>
    <row r="67" spans="1:6" x14ac:dyDescent="0.3">
      <c r="A67" s="129">
        <v>44656</v>
      </c>
      <c r="B67" s="125">
        <v>5.1399999999999994E-2</v>
      </c>
      <c r="C67" s="124">
        <v>5.2600000000000001E-2</v>
      </c>
      <c r="D67" s="126">
        <v>3452.78</v>
      </c>
      <c r="E67" s="126">
        <v>3441.43</v>
      </c>
      <c r="F67" s="127">
        <v>3441.43</v>
      </c>
    </row>
    <row r="68" spans="1:6" x14ac:dyDescent="0.3">
      <c r="A68" s="129">
        <v>44657</v>
      </c>
      <c r="B68" s="125">
        <v>5.28E-2</v>
      </c>
      <c r="C68" s="124">
        <v>5.4000000000000006E-2</v>
      </c>
      <c r="D68" s="126">
        <v>3444.12</v>
      </c>
      <c r="E68" s="126">
        <v>3432.81</v>
      </c>
      <c r="F68" s="127">
        <v>3432.81</v>
      </c>
    </row>
    <row r="69" spans="1:6" x14ac:dyDescent="0.3">
      <c r="A69" s="129">
        <v>44658</v>
      </c>
      <c r="B69" s="125">
        <v>5.21E-2</v>
      </c>
      <c r="C69" s="124">
        <v>5.33E-2</v>
      </c>
      <c r="D69" s="126">
        <v>3451.61</v>
      </c>
      <c r="E69" s="126">
        <v>3440.29</v>
      </c>
      <c r="F69" s="127">
        <v>3440.29</v>
      </c>
    </row>
    <row r="70" spans="1:6" x14ac:dyDescent="0.3">
      <c r="A70" s="129">
        <v>44659</v>
      </c>
      <c r="B70" s="125">
        <v>5.33E-2</v>
      </c>
      <c r="C70" s="124">
        <v>5.45E-2</v>
      </c>
      <c r="D70" s="126">
        <v>3457.44</v>
      </c>
      <c r="E70" s="126">
        <v>3442.16</v>
      </c>
      <c r="F70" s="127">
        <v>3442.16</v>
      </c>
    </row>
    <row r="71" spans="1:6" x14ac:dyDescent="0.3">
      <c r="A71" s="129">
        <v>44662</v>
      </c>
      <c r="B71" s="125">
        <v>5.3699999999999998E-2</v>
      </c>
      <c r="C71" s="124">
        <v>5.4900000000000004E-2</v>
      </c>
      <c r="D71" s="126">
        <v>3456.88</v>
      </c>
      <c r="E71" s="126">
        <v>3445.19</v>
      </c>
      <c r="F71" s="127">
        <v>3445.19</v>
      </c>
    </row>
    <row r="72" spans="1:6" x14ac:dyDescent="0.3">
      <c r="A72" s="129">
        <v>44663</v>
      </c>
      <c r="B72" s="125">
        <v>5.5500000000000001E-2</v>
      </c>
      <c r="C72" s="124">
        <v>5.67E-2</v>
      </c>
      <c r="D72" s="126">
        <v>3445.66</v>
      </c>
      <c r="E72" s="126">
        <v>3434.02</v>
      </c>
      <c r="F72" s="127">
        <v>3434.02</v>
      </c>
    </row>
    <row r="73" spans="1:6" x14ac:dyDescent="0.3">
      <c r="A73" s="129">
        <v>44664</v>
      </c>
      <c r="B73" s="125">
        <v>5.62E-2</v>
      </c>
      <c r="C73" s="124">
        <v>5.74E-2</v>
      </c>
      <c r="D73" s="126">
        <v>3442.88</v>
      </c>
      <c r="E73" s="126">
        <v>3431.26</v>
      </c>
      <c r="F73" s="127">
        <v>3431.26</v>
      </c>
    </row>
    <row r="74" spans="1:6" x14ac:dyDescent="0.3">
      <c r="A74" s="129">
        <v>44665</v>
      </c>
      <c r="B74" s="125">
        <v>5.5599999999999997E-2</v>
      </c>
      <c r="C74" s="124">
        <v>5.6799999999999996E-2</v>
      </c>
      <c r="D74" s="126">
        <v>3452.57</v>
      </c>
      <c r="E74" s="126">
        <v>3438.34</v>
      </c>
      <c r="F74" s="127">
        <v>3438.34</v>
      </c>
    </row>
    <row r="75" spans="1:6" x14ac:dyDescent="0.3">
      <c r="A75" s="129">
        <v>44669</v>
      </c>
      <c r="B75" s="125">
        <v>5.5599999999999997E-2</v>
      </c>
      <c r="C75" s="124">
        <v>5.6799999999999996E-2</v>
      </c>
      <c r="D75" s="126">
        <v>3454.19</v>
      </c>
      <c r="E75" s="126">
        <v>3443.48</v>
      </c>
      <c r="F75" s="127">
        <v>3443.48</v>
      </c>
    </row>
    <row r="76" spans="1:6" x14ac:dyDescent="0.3">
      <c r="A76" s="129">
        <v>44670</v>
      </c>
      <c r="B76" s="125">
        <v>5.3699999999999998E-2</v>
      </c>
      <c r="C76" s="124">
        <v>5.4900000000000004E-2</v>
      </c>
      <c r="D76" s="126">
        <v>3470.23</v>
      </c>
      <c r="E76" s="126">
        <v>3459.5</v>
      </c>
      <c r="F76" s="127">
        <v>3459.5</v>
      </c>
    </row>
    <row r="77" spans="1:6" x14ac:dyDescent="0.3">
      <c r="A77" s="129">
        <v>44671</v>
      </c>
      <c r="B77" s="125">
        <v>5.4400000000000004E-2</v>
      </c>
      <c r="C77" s="124">
        <v>5.5599999999999997E-2</v>
      </c>
      <c r="D77" s="126">
        <v>3467.38</v>
      </c>
      <c r="E77" s="126">
        <v>3455.8</v>
      </c>
      <c r="F77" s="127">
        <v>3455.8</v>
      </c>
    </row>
    <row r="78" spans="1:6" x14ac:dyDescent="0.3">
      <c r="A78" s="129">
        <v>44673</v>
      </c>
      <c r="B78" s="125">
        <v>5.5199999999999999E-2</v>
      </c>
      <c r="C78" s="124">
        <v>5.6399999999999999E-2</v>
      </c>
      <c r="D78" s="126">
        <v>3464.68</v>
      </c>
      <c r="E78" s="126">
        <v>3452.24</v>
      </c>
      <c r="F78" s="127">
        <v>3452.24</v>
      </c>
    </row>
    <row r="79" spans="1:6" x14ac:dyDescent="0.3">
      <c r="A79" s="129">
        <v>44676</v>
      </c>
      <c r="B79" s="125">
        <v>5.5E-2</v>
      </c>
      <c r="C79" s="124">
        <v>5.62E-2</v>
      </c>
      <c r="D79" s="126">
        <v>3467.8</v>
      </c>
      <c r="E79" s="126">
        <v>3457.12</v>
      </c>
      <c r="F79" s="127">
        <v>3457.12</v>
      </c>
    </row>
    <row r="80" spans="1:6" x14ac:dyDescent="0.3">
      <c r="A80" s="129">
        <v>44677</v>
      </c>
      <c r="B80" s="125">
        <v>5.4900000000000004E-2</v>
      </c>
      <c r="C80" s="124">
        <v>5.6100000000000004E-2</v>
      </c>
      <c r="D80" s="126">
        <v>3470.17</v>
      </c>
      <c r="E80" s="126">
        <v>3459.49</v>
      </c>
      <c r="F80" s="127">
        <v>3459.49</v>
      </c>
    </row>
    <row r="81" spans="1:6" x14ac:dyDescent="0.3">
      <c r="A81" s="129">
        <v>44678</v>
      </c>
      <c r="B81" s="125">
        <v>5.4900000000000004E-2</v>
      </c>
      <c r="C81" s="124">
        <v>5.6100000000000004E-2</v>
      </c>
      <c r="D81" s="126">
        <v>3471.78</v>
      </c>
      <c r="E81" s="126">
        <v>3461.12</v>
      </c>
      <c r="F81" s="127">
        <v>3461.12</v>
      </c>
    </row>
    <row r="82" spans="1:6" x14ac:dyDescent="0.3">
      <c r="A82" s="129">
        <v>44679</v>
      </c>
      <c r="B82" s="125">
        <v>5.5399999999999998E-2</v>
      </c>
      <c r="C82" s="124">
        <v>5.6600000000000004E-2</v>
      </c>
      <c r="D82" s="126">
        <v>3472.52</v>
      </c>
      <c r="E82" s="126">
        <v>3461.66</v>
      </c>
      <c r="F82" s="127">
        <v>3461.66</v>
      </c>
    </row>
    <row r="83" spans="1:6" x14ac:dyDescent="0.3">
      <c r="A83" s="129">
        <v>44680</v>
      </c>
      <c r="B83" s="125">
        <v>5.4800000000000001E-2</v>
      </c>
      <c r="C83" s="124">
        <v>5.5999999999999994E-2</v>
      </c>
      <c r="D83" s="126">
        <v>3481.03</v>
      </c>
      <c r="E83" s="126">
        <v>3468</v>
      </c>
      <c r="F83" s="127">
        <v>3468</v>
      </c>
    </row>
    <row r="84" spans="1:6" x14ac:dyDescent="0.3">
      <c r="A84" s="129">
        <v>44683</v>
      </c>
      <c r="B84" s="125">
        <v>5.5399999999999998E-2</v>
      </c>
      <c r="C84" s="124">
        <v>5.6600000000000004E-2</v>
      </c>
      <c r="D84" s="126">
        <v>3478.34</v>
      </c>
      <c r="E84" s="126">
        <v>3467.49</v>
      </c>
      <c r="F84" s="127">
        <v>3467.49</v>
      </c>
    </row>
    <row r="85" spans="1:6" x14ac:dyDescent="0.3">
      <c r="A85" s="129">
        <v>44684</v>
      </c>
      <c r="B85" s="125">
        <v>5.5399999999999998E-2</v>
      </c>
      <c r="C85" s="124">
        <v>5.6600000000000004E-2</v>
      </c>
      <c r="D85" s="126">
        <v>3480.17</v>
      </c>
      <c r="E85" s="126">
        <v>3469.34</v>
      </c>
      <c r="F85" s="127">
        <v>3469.34</v>
      </c>
    </row>
    <row r="86" spans="1:6" x14ac:dyDescent="0.3">
      <c r="A86" s="129">
        <v>44685</v>
      </c>
      <c r="B86" s="125">
        <v>5.4800000000000001E-2</v>
      </c>
      <c r="C86" s="124">
        <v>5.5999999999999994E-2</v>
      </c>
      <c r="D86" s="126">
        <v>3486.51</v>
      </c>
      <c r="E86" s="126">
        <v>3475.67</v>
      </c>
      <c r="F86" s="127">
        <v>3475.67</v>
      </c>
    </row>
    <row r="87" spans="1:6" x14ac:dyDescent="0.3">
      <c r="A87" s="129">
        <v>44686</v>
      </c>
      <c r="B87" s="125">
        <v>5.33E-2</v>
      </c>
      <c r="C87" s="124">
        <v>5.45E-2</v>
      </c>
      <c r="D87" s="126">
        <v>3499.62</v>
      </c>
      <c r="E87" s="126">
        <v>3488.76</v>
      </c>
      <c r="F87" s="127">
        <v>3488.76</v>
      </c>
    </row>
    <row r="88" spans="1:6" x14ac:dyDescent="0.3">
      <c r="A88" s="129">
        <v>44687</v>
      </c>
      <c r="B88" s="125">
        <v>5.4199999999999998E-2</v>
      </c>
      <c r="C88" s="124">
        <v>5.5399999999999998E-2</v>
      </c>
      <c r="D88" s="126">
        <v>3496.84</v>
      </c>
      <c r="E88" s="126">
        <v>3483.83</v>
      </c>
      <c r="F88" s="127">
        <v>3483.83</v>
      </c>
    </row>
    <row r="89" spans="1:6" x14ac:dyDescent="0.3">
      <c r="A89" s="129">
        <v>44690</v>
      </c>
      <c r="B89" s="125">
        <v>5.5E-2</v>
      </c>
      <c r="C89" s="124">
        <v>5.62E-2</v>
      </c>
      <c r="D89" s="126">
        <v>3492.67</v>
      </c>
      <c r="E89" s="126">
        <v>3481.86</v>
      </c>
      <c r="F89" s="127">
        <v>3481.86</v>
      </c>
    </row>
    <row r="90" spans="1:6" x14ac:dyDescent="0.3">
      <c r="A90" s="129">
        <v>44691</v>
      </c>
      <c r="B90" s="125">
        <v>5.4299999999999994E-2</v>
      </c>
      <c r="C90" s="124">
        <v>5.5500000000000001E-2</v>
      </c>
      <c r="D90" s="126">
        <v>3499.74</v>
      </c>
      <c r="E90" s="126">
        <v>3488.93</v>
      </c>
      <c r="F90" s="127">
        <v>3488.93</v>
      </c>
    </row>
    <row r="91" spans="1:6" x14ac:dyDescent="0.3">
      <c r="A91" s="129">
        <v>44692</v>
      </c>
      <c r="B91" s="125">
        <v>5.6399999999999999E-2</v>
      </c>
      <c r="C91" s="124">
        <v>5.7599999999999998E-2</v>
      </c>
      <c r="D91" s="126">
        <v>3489.63</v>
      </c>
      <c r="E91" s="126">
        <v>3478.71</v>
      </c>
      <c r="F91" s="127">
        <v>3478.71</v>
      </c>
    </row>
    <row r="92" spans="1:6" x14ac:dyDescent="0.3">
      <c r="A92" s="129">
        <v>44693</v>
      </c>
      <c r="B92" s="125">
        <v>5.5399999999999998E-2</v>
      </c>
      <c r="C92" s="124">
        <v>5.6600000000000004E-2</v>
      </c>
      <c r="D92" s="126">
        <v>3499.06</v>
      </c>
      <c r="E92" s="126">
        <v>3488.14</v>
      </c>
      <c r="F92" s="127">
        <v>3488.14</v>
      </c>
    </row>
    <row r="93" spans="1:6" x14ac:dyDescent="0.3">
      <c r="A93" s="129">
        <v>44694</v>
      </c>
      <c r="B93" s="125">
        <v>5.5300000000000002E-2</v>
      </c>
      <c r="C93" s="124">
        <v>5.6500000000000002E-2</v>
      </c>
      <c r="D93" s="126">
        <v>3503.54</v>
      </c>
      <c r="E93" s="126">
        <v>3490.87</v>
      </c>
      <c r="F93" s="127">
        <v>3490.87</v>
      </c>
    </row>
    <row r="94" spans="1:6" x14ac:dyDescent="0.3">
      <c r="A94" s="129">
        <v>44697</v>
      </c>
      <c r="B94" s="125">
        <v>5.5300000000000002E-2</v>
      </c>
      <c r="C94" s="124">
        <v>5.6500000000000002E-2</v>
      </c>
      <c r="D94" s="126">
        <v>3504.81</v>
      </c>
      <c r="E94" s="126">
        <v>3494.6</v>
      </c>
      <c r="F94" s="127">
        <v>3494.6</v>
      </c>
    </row>
    <row r="95" spans="1:6" x14ac:dyDescent="0.3">
      <c r="A95" s="129">
        <v>44698</v>
      </c>
      <c r="B95" s="125">
        <v>5.3399999999999996E-2</v>
      </c>
      <c r="C95" s="124">
        <v>5.4600000000000003E-2</v>
      </c>
      <c r="D95" s="126">
        <v>3520.24</v>
      </c>
      <c r="E95" s="126">
        <v>3510.02</v>
      </c>
      <c r="F95" s="127">
        <v>3510.02</v>
      </c>
    </row>
    <row r="96" spans="1:6" x14ac:dyDescent="0.3">
      <c r="A96" s="129">
        <v>44699</v>
      </c>
      <c r="B96" s="125">
        <v>5.4800000000000001E-2</v>
      </c>
      <c r="C96" s="124">
        <v>5.5999999999999994E-2</v>
      </c>
      <c r="D96" s="126">
        <v>3511.06</v>
      </c>
      <c r="E96" s="126">
        <v>3500.87</v>
      </c>
      <c r="F96" s="127">
        <v>3500.87</v>
      </c>
    </row>
    <row r="97" spans="1:6" x14ac:dyDescent="0.3">
      <c r="A97" s="129">
        <v>44700</v>
      </c>
      <c r="B97" s="125">
        <v>5.4900000000000004E-2</v>
      </c>
      <c r="C97" s="124">
        <v>5.6100000000000004E-2</v>
      </c>
      <c r="D97" s="126">
        <v>3511.58</v>
      </c>
      <c r="E97" s="126">
        <v>3501.41</v>
      </c>
      <c r="F97" s="127">
        <v>3501.41</v>
      </c>
    </row>
    <row r="98" spans="1:6" x14ac:dyDescent="0.3">
      <c r="A98" s="129">
        <v>44701</v>
      </c>
      <c r="B98" s="125">
        <v>5.6100000000000004E-2</v>
      </c>
      <c r="C98" s="124">
        <v>5.7300000000000004E-2</v>
      </c>
      <c r="D98" s="126">
        <v>3505</v>
      </c>
      <c r="E98" s="126">
        <v>3493.83</v>
      </c>
      <c r="F98" s="127">
        <v>3493.83</v>
      </c>
    </row>
    <row r="99" spans="1:6" x14ac:dyDescent="0.3">
      <c r="A99" s="129">
        <v>44704</v>
      </c>
      <c r="B99" s="125">
        <v>5.5800000000000002E-2</v>
      </c>
      <c r="C99" s="124">
        <v>5.7000000000000002E-2</v>
      </c>
      <c r="D99" s="126">
        <v>3508.49</v>
      </c>
      <c r="E99" s="126">
        <v>3498.36</v>
      </c>
      <c r="F99" s="127">
        <v>3498.36</v>
      </c>
    </row>
    <row r="100" spans="1:6" x14ac:dyDescent="0.3">
      <c r="A100" s="129">
        <v>44705</v>
      </c>
      <c r="B100" s="125">
        <v>5.7699999999999994E-2</v>
      </c>
      <c r="C100" s="124">
        <v>5.8899999999999994E-2</v>
      </c>
      <c r="D100" s="126">
        <v>3495.8</v>
      </c>
      <c r="E100" s="126">
        <v>3485.71</v>
      </c>
      <c r="F100" s="127">
        <v>3485.71</v>
      </c>
    </row>
    <row r="101" spans="1:6" x14ac:dyDescent="0.3">
      <c r="A101" s="129">
        <v>44706</v>
      </c>
      <c r="B101" s="125">
        <v>5.8200000000000002E-2</v>
      </c>
      <c r="C101" s="124">
        <v>5.9400000000000001E-2</v>
      </c>
      <c r="D101" s="126">
        <v>3495.04</v>
      </c>
      <c r="E101" s="126">
        <v>3484.82</v>
      </c>
      <c r="F101" s="127">
        <v>3484.82</v>
      </c>
    </row>
    <row r="102" spans="1:6" x14ac:dyDescent="0.3">
      <c r="A102" s="129">
        <v>44707</v>
      </c>
      <c r="B102" s="125">
        <v>5.8400000000000001E-2</v>
      </c>
      <c r="C102" s="124">
        <v>5.96E-2</v>
      </c>
      <c r="D102" s="126">
        <v>3495.03</v>
      </c>
      <c r="E102" s="126">
        <v>3484.82</v>
      </c>
      <c r="F102" s="127">
        <v>3484.82</v>
      </c>
    </row>
    <row r="103" spans="1:6" x14ac:dyDescent="0.3">
      <c r="A103" s="129">
        <v>44708</v>
      </c>
      <c r="B103" s="125">
        <v>5.7800000000000004E-2</v>
      </c>
      <c r="C103" s="124">
        <v>5.9000000000000004E-2</v>
      </c>
      <c r="D103" s="126">
        <v>3502.18</v>
      </c>
      <c r="E103" s="126">
        <v>3490.65</v>
      </c>
      <c r="F103" s="127">
        <v>3490.65</v>
      </c>
    </row>
    <row r="104" spans="1:6" x14ac:dyDescent="0.3">
      <c r="A104" s="129">
        <v>44711</v>
      </c>
      <c r="B104" s="125">
        <v>5.8700000000000002E-2</v>
      </c>
      <c r="C104" s="124">
        <v>5.9900000000000002E-2</v>
      </c>
      <c r="D104" s="126">
        <v>3497.07</v>
      </c>
      <c r="E104" s="126">
        <v>3486.89</v>
      </c>
      <c r="F104" s="127">
        <v>3486.89</v>
      </c>
    </row>
    <row r="105" spans="1:6" x14ac:dyDescent="0.3">
      <c r="A105" s="129">
        <v>44712</v>
      </c>
      <c r="B105" s="125">
        <v>5.9699999999999996E-2</v>
      </c>
      <c r="C105" s="124">
        <v>6.0899999999999996E-2</v>
      </c>
      <c r="D105" s="126">
        <v>3491.27</v>
      </c>
      <c r="E105" s="126">
        <v>3481.12</v>
      </c>
      <c r="F105" s="127">
        <v>3481.12</v>
      </c>
    </row>
    <row r="106" spans="1:6" x14ac:dyDescent="0.3">
      <c r="A106" s="129">
        <v>44713</v>
      </c>
      <c r="B106" s="125">
        <v>5.7999999999999996E-2</v>
      </c>
      <c r="C106" s="124">
        <v>5.9200000000000003E-2</v>
      </c>
      <c r="D106" s="126">
        <v>3505.07</v>
      </c>
      <c r="E106" s="126">
        <v>3494.9</v>
      </c>
      <c r="F106" s="127">
        <v>3494.9</v>
      </c>
    </row>
    <row r="107" spans="1:6" x14ac:dyDescent="0.3">
      <c r="A107" s="129">
        <v>44714</v>
      </c>
      <c r="B107" s="125">
        <v>5.7099999999999998E-2</v>
      </c>
      <c r="C107" s="124">
        <v>5.8299999999999998E-2</v>
      </c>
      <c r="D107" s="126">
        <v>3513.06</v>
      </c>
      <c r="E107" s="126">
        <v>3502.89</v>
      </c>
      <c r="F107" s="127">
        <v>3502.89</v>
      </c>
    </row>
    <row r="108" spans="1:6" x14ac:dyDescent="0.3">
      <c r="A108" s="129">
        <v>44715</v>
      </c>
      <c r="B108" s="125">
        <v>5.7300000000000004E-2</v>
      </c>
      <c r="C108" s="124">
        <v>5.8499999999999996E-2</v>
      </c>
      <c r="D108" s="126">
        <v>3514.38</v>
      </c>
      <c r="E108" s="126">
        <v>3502.89</v>
      </c>
      <c r="F108" s="127">
        <v>3502.89</v>
      </c>
    </row>
    <row r="109" spans="1:6" x14ac:dyDescent="0.3">
      <c r="A109" s="129">
        <v>44718</v>
      </c>
      <c r="B109" s="125">
        <v>5.7000000000000002E-2</v>
      </c>
      <c r="C109" s="124">
        <v>5.8200000000000002E-2</v>
      </c>
      <c r="D109" s="126">
        <v>3518.01</v>
      </c>
      <c r="E109" s="126">
        <v>3507.85</v>
      </c>
      <c r="F109" s="127">
        <v>3507.85</v>
      </c>
    </row>
    <row r="110" spans="1:6" x14ac:dyDescent="0.3">
      <c r="A110" s="129">
        <v>44719</v>
      </c>
      <c r="B110" s="125">
        <v>5.7300000000000004E-2</v>
      </c>
      <c r="C110" s="124">
        <v>5.8499999999999996E-2</v>
      </c>
      <c r="D110" s="126">
        <v>3517.27</v>
      </c>
      <c r="E110" s="126">
        <v>3507.13</v>
      </c>
      <c r="F110" s="127">
        <v>3507.13</v>
      </c>
    </row>
    <row r="111" spans="1:6" x14ac:dyDescent="0.3">
      <c r="A111" s="129">
        <v>44720</v>
      </c>
      <c r="B111" s="125">
        <v>5.8099999999999999E-2</v>
      </c>
      <c r="C111" s="124">
        <v>5.9299999999999999E-2</v>
      </c>
      <c r="D111" s="126">
        <v>3512.93</v>
      </c>
      <c r="E111" s="126">
        <v>3502.82</v>
      </c>
      <c r="F111" s="127">
        <v>3502.82</v>
      </c>
    </row>
    <row r="112" spans="1:6" x14ac:dyDescent="0.3">
      <c r="A112" s="129">
        <v>44721</v>
      </c>
      <c r="B112" s="125">
        <v>5.6900000000000006E-2</v>
      </c>
      <c r="C112" s="124">
        <v>5.8099999999999999E-2</v>
      </c>
      <c r="D112" s="126">
        <v>3519.53</v>
      </c>
      <c r="E112" s="126">
        <v>3509.55</v>
      </c>
      <c r="F112" s="127">
        <v>3509.55</v>
      </c>
    </row>
    <row r="113" spans="1:6" x14ac:dyDescent="0.3">
      <c r="A113" s="129">
        <v>44722</v>
      </c>
      <c r="B113" s="125">
        <v>5.8299999999999998E-2</v>
      </c>
      <c r="C113" s="124">
        <v>5.9500000000000004E-2</v>
      </c>
      <c r="D113" s="126">
        <v>3511.81</v>
      </c>
      <c r="E113" s="126">
        <v>3500.81</v>
      </c>
      <c r="F113" s="127">
        <v>3500.81</v>
      </c>
    </row>
    <row r="114" spans="1:6" x14ac:dyDescent="0.3">
      <c r="A114" s="129">
        <v>44725</v>
      </c>
      <c r="B114" s="125">
        <v>5.8799999999999998E-2</v>
      </c>
      <c r="C114" s="124">
        <v>0.06</v>
      </c>
      <c r="D114" s="126">
        <v>3509.55</v>
      </c>
      <c r="E114" s="126">
        <v>3499.62</v>
      </c>
      <c r="F114" s="127">
        <v>3499.62</v>
      </c>
    </row>
    <row r="115" spans="1:6" x14ac:dyDescent="0.3">
      <c r="A115" s="129">
        <v>44726</v>
      </c>
      <c r="B115" s="125">
        <v>5.91E-2</v>
      </c>
      <c r="C115" s="124">
        <v>6.0299999999999999E-2</v>
      </c>
      <c r="D115" s="126">
        <v>3508.73</v>
      </c>
      <c r="E115" s="126">
        <v>3498.82</v>
      </c>
      <c r="F115" s="127">
        <v>3498.82</v>
      </c>
    </row>
    <row r="116" spans="1:6" x14ac:dyDescent="0.3">
      <c r="A116" s="129">
        <v>44727</v>
      </c>
      <c r="B116" s="125">
        <v>5.96E-2</v>
      </c>
      <c r="C116" s="124">
        <v>6.08E-2</v>
      </c>
      <c r="D116" s="126">
        <v>3507.45</v>
      </c>
      <c r="E116" s="126">
        <v>3496.6</v>
      </c>
      <c r="F116" s="127">
        <v>3496.6</v>
      </c>
    </row>
    <row r="117" spans="1:6" x14ac:dyDescent="0.3">
      <c r="A117" s="129">
        <v>44729</v>
      </c>
      <c r="B117" s="125">
        <v>5.7099999999999998E-2</v>
      </c>
      <c r="C117" s="124">
        <v>5.8299999999999998E-2</v>
      </c>
      <c r="D117" s="126">
        <v>3528.38</v>
      </c>
      <c r="E117" s="126">
        <v>3516.74</v>
      </c>
      <c r="F117" s="127">
        <v>3516.74</v>
      </c>
    </row>
    <row r="118" spans="1:6" x14ac:dyDescent="0.3">
      <c r="A118" s="129">
        <v>44732</v>
      </c>
      <c r="B118" s="125">
        <v>5.67E-2</v>
      </c>
      <c r="C118" s="124">
        <v>5.79E-2</v>
      </c>
      <c r="D118" s="126">
        <v>3532.78</v>
      </c>
      <c r="E118" s="126">
        <v>3522.64</v>
      </c>
      <c r="F118" s="127">
        <v>3522.64</v>
      </c>
    </row>
    <row r="119" spans="1:6" x14ac:dyDescent="0.3">
      <c r="A119" s="129">
        <v>44733</v>
      </c>
      <c r="B119" s="125">
        <v>5.6799999999999996E-2</v>
      </c>
      <c r="C119" s="124">
        <v>5.7999999999999996E-2</v>
      </c>
      <c r="D119" s="126">
        <v>3533.58</v>
      </c>
      <c r="E119" s="126">
        <v>3523.46</v>
      </c>
      <c r="F119" s="127">
        <v>3523.46</v>
      </c>
    </row>
    <row r="120" spans="1:6" x14ac:dyDescent="0.3">
      <c r="A120" s="129">
        <v>44734</v>
      </c>
      <c r="B120" s="125">
        <v>5.8099999999999999E-2</v>
      </c>
      <c r="C120" s="124">
        <v>5.9299999999999999E-2</v>
      </c>
      <c r="D120" s="126">
        <v>3525.83</v>
      </c>
      <c r="E120" s="126">
        <v>3515.74</v>
      </c>
      <c r="F120" s="127">
        <v>3515.74</v>
      </c>
    </row>
    <row r="121" spans="1:6" x14ac:dyDescent="0.3">
      <c r="A121" s="129">
        <v>44735</v>
      </c>
      <c r="B121" s="125">
        <v>6.0100000000000001E-2</v>
      </c>
      <c r="C121" s="124">
        <v>6.13E-2</v>
      </c>
      <c r="D121" s="126">
        <v>3513.18</v>
      </c>
      <c r="E121" s="126">
        <v>3503.13</v>
      </c>
      <c r="F121" s="127">
        <v>3503.13</v>
      </c>
    </row>
    <row r="122" spans="1:6" x14ac:dyDescent="0.3">
      <c r="A122" s="129">
        <v>44736</v>
      </c>
      <c r="B122" s="125">
        <v>5.9900000000000002E-2</v>
      </c>
      <c r="C122" s="124">
        <v>6.1100000000000002E-2</v>
      </c>
      <c r="D122" s="126">
        <v>3517.64</v>
      </c>
      <c r="E122" s="126">
        <v>3506.11</v>
      </c>
      <c r="F122" s="127">
        <v>3506.11</v>
      </c>
    </row>
    <row r="123" spans="1:6" x14ac:dyDescent="0.3">
      <c r="A123" s="129">
        <v>44739</v>
      </c>
      <c r="B123" s="125">
        <v>5.9000000000000004E-2</v>
      </c>
      <c r="C123" s="124">
        <v>6.0199999999999997E-2</v>
      </c>
      <c r="D123" s="126">
        <v>3526.93</v>
      </c>
      <c r="E123" s="126">
        <v>3516.78</v>
      </c>
      <c r="F123" s="127">
        <v>3516.78</v>
      </c>
    </row>
    <row r="124" spans="1:6" x14ac:dyDescent="0.3">
      <c r="A124" s="129">
        <v>44740</v>
      </c>
      <c r="B124" s="125">
        <v>0.06</v>
      </c>
      <c r="C124" s="124">
        <v>6.1200000000000004E-2</v>
      </c>
      <c r="D124" s="126">
        <v>3521.53</v>
      </c>
      <c r="E124" s="126">
        <v>3511.4</v>
      </c>
      <c r="F124" s="127">
        <v>3511.4</v>
      </c>
    </row>
    <row r="125" spans="1:6" x14ac:dyDescent="0.3">
      <c r="A125" s="129">
        <v>44741</v>
      </c>
      <c r="B125" s="125">
        <v>6.0899999999999996E-2</v>
      </c>
      <c r="C125" s="124">
        <v>6.2100000000000002E-2</v>
      </c>
      <c r="D125" s="126">
        <v>3516.87</v>
      </c>
      <c r="E125" s="126">
        <v>3506.76</v>
      </c>
      <c r="F125" s="127">
        <v>3506.76</v>
      </c>
    </row>
    <row r="126" spans="1:6" x14ac:dyDescent="0.3">
      <c r="A126" s="129">
        <v>44742</v>
      </c>
      <c r="B126" s="125">
        <v>6.2E-2</v>
      </c>
      <c r="C126" s="124">
        <v>6.3200000000000006E-2</v>
      </c>
      <c r="D126" s="126">
        <v>3510.84</v>
      </c>
      <c r="E126" s="126">
        <v>3500.76</v>
      </c>
      <c r="F126" s="127">
        <v>3500.76</v>
      </c>
    </row>
    <row r="127" spans="1:6" x14ac:dyDescent="0.3">
      <c r="A127" s="129">
        <v>44743</v>
      </c>
      <c r="B127" s="125">
        <v>6.1200000000000004E-2</v>
      </c>
      <c r="C127" s="124">
        <v>6.2400000000000004E-2</v>
      </c>
      <c r="D127" s="126">
        <v>3519.83</v>
      </c>
      <c r="E127" s="126">
        <v>3508.04</v>
      </c>
      <c r="F127" s="127">
        <v>3508.04</v>
      </c>
    </row>
    <row r="128" spans="1:6" x14ac:dyDescent="0.3">
      <c r="A128" s="129">
        <v>44746</v>
      </c>
      <c r="B128" s="125">
        <v>6.3099999999999989E-2</v>
      </c>
      <c r="C128" s="124">
        <v>6.4299999999999996E-2</v>
      </c>
      <c r="D128" s="126">
        <v>3508.26</v>
      </c>
      <c r="E128" s="126">
        <v>3498.22</v>
      </c>
      <c r="F128" s="127">
        <v>3498.22</v>
      </c>
    </row>
    <row r="129" spans="1:6" x14ac:dyDescent="0.3">
      <c r="A129" s="129">
        <v>44747</v>
      </c>
      <c r="B129" s="125">
        <v>6.3600000000000004E-2</v>
      </c>
      <c r="C129" s="124">
        <v>6.480000000000001E-2</v>
      </c>
      <c r="D129" s="126">
        <v>3506.5</v>
      </c>
      <c r="E129" s="126">
        <v>3496.47</v>
      </c>
      <c r="F129" s="127">
        <v>3496.47</v>
      </c>
    </row>
    <row r="130" spans="1:6" x14ac:dyDescent="0.3">
      <c r="A130" s="129">
        <v>44748</v>
      </c>
      <c r="B130" s="125">
        <v>6.4299999999999996E-2</v>
      </c>
      <c r="C130" s="124">
        <v>6.5500000000000003E-2</v>
      </c>
      <c r="D130" s="126">
        <v>3503.36</v>
      </c>
      <c r="E130" s="126">
        <v>3493.36</v>
      </c>
      <c r="F130" s="127">
        <v>3493.36</v>
      </c>
    </row>
    <row r="131" spans="1:6" x14ac:dyDescent="0.3">
      <c r="A131" s="129">
        <v>44749</v>
      </c>
      <c r="B131" s="125">
        <v>6.5299999999999997E-2</v>
      </c>
      <c r="C131" s="124">
        <v>6.6500000000000004E-2</v>
      </c>
      <c r="D131" s="126">
        <v>3498.19</v>
      </c>
      <c r="E131" s="126">
        <v>3488.21</v>
      </c>
      <c r="F131" s="127">
        <v>3488.21</v>
      </c>
    </row>
    <row r="132" spans="1:6" x14ac:dyDescent="0.3">
      <c r="A132" s="129">
        <v>44750</v>
      </c>
      <c r="B132" s="125">
        <v>6.5500000000000003E-2</v>
      </c>
      <c r="C132" s="124">
        <v>6.6699999999999995E-2</v>
      </c>
      <c r="D132" s="126">
        <v>3498.43</v>
      </c>
      <c r="E132" s="126">
        <v>3486.98</v>
      </c>
      <c r="F132" s="127">
        <v>3486.98</v>
      </c>
    </row>
    <row r="133" spans="1:6" x14ac:dyDescent="0.3">
      <c r="A133" s="129">
        <v>44753</v>
      </c>
      <c r="B133" s="125">
        <v>6.7900000000000002E-2</v>
      </c>
      <c r="C133" s="124">
        <v>6.9099999999999995E-2</v>
      </c>
      <c r="D133" s="126">
        <v>3483.69</v>
      </c>
      <c r="E133" s="126">
        <v>3473.84</v>
      </c>
      <c r="F133" s="127">
        <v>3473.84</v>
      </c>
    </row>
    <row r="134" spans="1:6" x14ac:dyDescent="0.3">
      <c r="A134" s="129">
        <v>44754</v>
      </c>
      <c r="B134" s="125">
        <v>6.8499999999999991E-2</v>
      </c>
      <c r="C134" s="124">
        <v>6.9699999999999998E-2</v>
      </c>
      <c r="D134" s="126">
        <v>3481.3</v>
      </c>
      <c r="E134" s="126">
        <v>3471.47</v>
      </c>
      <c r="F134" s="127">
        <v>3471.47</v>
      </c>
    </row>
    <row r="135" spans="1:6" x14ac:dyDescent="0.3">
      <c r="A135" s="129">
        <v>44755</v>
      </c>
      <c r="B135" s="125">
        <v>6.83E-2</v>
      </c>
      <c r="C135" s="124">
        <v>6.9500000000000006E-2</v>
      </c>
      <c r="D135" s="126">
        <v>3484.35</v>
      </c>
      <c r="E135" s="126">
        <v>3474.53</v>
      </c>
      <c r="F135" s="127">
        <v>3474.53</v>
      </c>
    </row>
    <row r="136" spans="1:6" x14ac:dyDescent="0.3">
      <c r="A136" s="129">
        <v>44756</v>
      </c>
      <c r="B136" s="125">
        <v>6.9199999999999998E-2</v>
      </c>
      <c r="C136" s="124">
        <v>7.0400000000000004E-2</v>
      </c>
      <c r="D136" s="126">
        <v>3479.95</v>
      </c>
      <c r="E136" s="126">
        <v>3470.15</v>
      </c>
      <c r="F136" s="127">
        <v>3470.15</v>
      </c>
    </row>
    <row r="137" spans="1:6" x14ac:dyDescent="0.3">
      <c r="A137" s="129">
        <v>44757</v>
      </c>
      <c r="B137" s="125">
        <v>6.9400000000000003E-2</v>
      </c>
      <c r="C137" s="124">
        <v>7.0599999999999996E-2</v>
      </c>
      <c r="D137" s="126">
        <v>3477.4</v>
      </c>
      <c r="E137" s="126">
        <v>3470.52</v>
      </c>
      <c r="F137" s="127">
        <v>3470.52</v>
      </c>
    </row>
    <row r="138" spans="1:6" x14ac:dyDescent="0.3">
      <c r="A138" s="129">
        <v>44760</v>
      </c>
      <c r="B138" s="125">
        <v>7.0000000000000007E-2</v>
      </c>
      <c r="C138" s="124">
        <v>7.1199999999999999E-2</v>
      </c>
      <c r="D138" s="126">
        <v>3473.59</v>
      </c>
      <c r="E138" s="126">
        <v>3465.31</v>
      </c>
      <c r="F138" s="127">
        <v>3465.31</v>
      </c>
    </row>
    <row r="139" spans="1:6" x14ac:dyDescent="0.3">
      <c r="A139" s="129">
        <v>44761</v>
      </c>
      <c r="B139" s="125">
        <v>7.17E-2</v>
      </c>
      <c r="C139" s="124">
        <v>7.2900000000000006E-2</v>
      </c>
      <c r="D139" s="126">
        <v>3462.45</v>
      </c>
      <c r="E139" s="126">
        <v>3454.2</v>
      </c>
      <c r="F139" s="127">
        <v>3454.2</v>
      </c>
    </row>
    <row r="140" spans="1:6" x14ac:dyDescent="0.3">
      <c r="A140" s="129">
        <v>44762</v>
      </c>
      <c r="B140" s="125">
        <v>7.2599999999999998E-2</v>
      </c>
      <c r="C140" s="124">
        <v>7.3800000000000004E-2</v>
      </c>
      <c r="D140" s="126">
        <v>3456.71</v>
      </c>
      <c r="E140" s="126">
        <v>3448.49</v>
      </c>
      <c r="F140" s="127">
        <v>3448.49</v>
      </c>
    </row>
    <row r="141" spans="1:6" x14ac:dyDescent="0.3">
      <c r="A141" s="129">
        <v>44763</v>
      </c>
      <c r="B141" s="125">
        <v>7.1399999999999991E-2</v>
      </c>
      <c r="C141" s="124">
        <v>7.2599999999999998E-2</v>
      </c>
      <c r="D141" s="126">
        <v>3464.94</v>
      </c>
      <c r="E141" s="126">
        <v>3456.71</v>
      </c>
      <c r="F141" s="127">
        <v>3456.71</v>
      </c>
    </row>
    <row r="142" spans="1:6" x14ac:dyDescent="0.3">
      <c r="A142" s="129">
        <v>44764</v>
      </c>
      <c r="B142" s="125">
        <v>7.1099999999999997E-2</v>
      </c>
      <c r="C142" s="124">
        <v>7.2300000000000003E-2</v>
      </c>
      <c r="D142" s="126">
        <v>3465.76</v>
      </c>
      <c r="E142" s="126">
        <v>3458.96</v>
      </c>
      <c r="F142" s="127">
        <v>3458.96</v>
      </c>
    </row>
    <row r="143" spans="1:6" x14ac:dyDescent="0.3">
      <c r="A143" s="129">
        <v>44767</v>
      </c>
      <c r="B143" s="125">
        <v>7.0400000000000004E-2</v>
      </c>
      <c r="C143" s="124">
        <v>7.1599999999999997E-2</v>
      </c>
      <c r="D143" s="126">
        <v>3470.64</v>
      </c>
      <c r="E143" s="126">
        <v>3462.44</v>
      </c>
      <c r="F143" s="127">
        <v>3462.44</v>
      </c>
    </row>
    <row r="144" spans="1:6" x14ac:dyDescent="0.3">
      <c r="A144" s="129">
        <v>44768</v>
      </c>
      <c r="B144" s="125">
        <v>7.1099999999999997E-2</v>
      </c>
      <c r="C144" s="124">
        <v>7.2300000000000003E-2</v>
      </c>
      <c r="D144" s="126">
        <v>3466.23</v>
      </c>
      <c r="E144" s="126">
        <v>3458.06</v>
      </c>
      <c r="F144" s="127">
        <v>3458.06</v>
      </c>
    </row>
    <row r="145" spans="1:6" x14ac:dyDescent="0.3">
      <c r="A145" s="129">
        <v>44769</v>
      </c>
      <c r="B145" s="125">
        <v>7.2000000000000008E-2</v>
      </c>
      <c r="C145" s="124">
        <v>7.3200000000000001E-2</v>
      </c>
      <c r="D145" s="126">
        <v>3460.1</v>
      </c>
      <c r="E145" s="126">
        <v>3451.98</v>
      </c>
      <c r="F145" s="127">
        <v>3451.98</v>
      </c>
    </row>
    <row r="146" spans="1:6" x14ac:dyDescent="0.3">
      <c r="A146" s="129">
        <v>44770</v>
      </c>
      <c r="B146" s="125">
        <v>7.0699999999999999E-2</v>
      </c>
      <c r="C146" s="124">
        <v>7.1900000000000006E-2</v>
      </c>
      <c r="D146" s="126">
        <v>3468.87</v>
      </c>
      <c r="E146" s="126">
        <v>3460.76</v>
      </c>
      <c r="F146" s="127">
        <v>3460.76</v>
      </c>
    </row>
    <row r="147" spans="1:6" x14ac:dyDescent="0.3">
      <c r="A147" s="129">
        <v>44771</v>
      </c>
      <c r="B147" s="125">
        <v>6.7900000000000002E-2</v>
      </c>
      <c r="C147" s="124">
        <v>6.9099999999999995E-2</v>
      </c>
      <c r="D147" s="126">
        <v>3486.09</v>
      </c>
      <c r="E147" s="126">
        <v>3479.45</v>
      </c>
      <c r="F147" s="127">
        <v>3479.45</v>
      </c>
    </row>
    <row r="148" spans="1:6" x14ac:dyDescent="0.3">
      <c r="A148" s="129">
        <v>44774</v>
      </c>
      <c r="B148" s="125">
        <v>6.59E-2</v>
      </c>
      <c r="C148" s="124">
        <v>6.7099999999999993E-2</v>
      </c>
      <c r="D148" s="126">
        <v>3499.53</v>
      </c>
      <c r="E148" s="126">
        <v>3491.4</v>
      </c>
      <c r="F148" s="127">
        <v>3491.4</v>
      </c>
    </row>
    <row r="149" spans="1:6" x14ac:dyDescent="0.3">
      <c r="A149" s="129">
        <v>44775</v>
      </c>
      <c r="B149" s="125">
        <v>6.5700000000000008E-2</v>
      </c>
      <c r="C149" s="124">
        <v>6.6900000000000001E-2</v>
      </c>
      <c r="D149" s="126">
        <v>3501</v>
      </c>
      <c r="E149" s="126">
        <v>3492.88</v>
      </c>
      <c r="F149" s="127">
        <v>3492.88</v>
      </c>
    </row>
    <row r="150" spans="1:6" x14ac:dyDescent="0.3">
      <c r="A150" s="129">
        <v>44776</v>
      </c>
      <c r="B150" s="125">
        <v>6.6199999999999995E-2</v>
      </c>
      <c r="C150" s="124">
        <v>6.7400000000000002E-2</v>
      </c>
      <c r="D150" s="126">
        <v>3497.82</v>
      </c>
      <c r="E150" s="126">
        <v>3489.72</v>
      </c>
      <c r="F150" s="127">
        <v>3489.72</v>
      </c>
    </row>
    <row r="151" spans="1:6" x14ac:dyDescent="0.3">
      <c r="A151" s="129">
        <v>44777</v>
      </c>
      <c r="B151" s="125">
        <v>6.4100000000000004E-2</v>
      </c>
      <c r="C151" s="124">
        <v>6.5299999999999997E-2</v>
      </c>
      <c r="D151" s="126">
        <v>3511.89</v>
      </c>
      <c r="E151" s="126">
        <v>3503.79</v>
      </c>
      <c r="F151" s="127">
        <v>3503.79</v>
      </c>
    </row>
    <row r="152" spans="1:6" x14ac:dyDescent="0.3">
      <c r="A152" s="129">
        <v>44778</v>
      </c>
      <c r="B152" s="125">
        <v>6.0899999999999996E-2</v>
      </c>
      <c r="C152" s="124">
        <v>6.2100000000000002E-2</v>
      </c>
      <c r="D152" s="126">
        <v>3531.84</v>
      </c>
      <c r="E152" s="126">
        <v>3525.24</v>
      </c>
      <c r="F152" s="127">
        <v>3525.24</v>
      </c>
    </row>
    <row r="153" spans="1:6" x14ac:dyDescent="0.3">
      <c r="A153" s="129">
        <v>44781</v>
      </c>
      <c r="B153" s="125">
        <v>6.0199999999999997E-2</v>
      </c>
      <c r="C153" s="124">
        <v>6.1399999999999996E-2</v>
      </c>
      <c r="D153" s="126">
        <v>3536.6</v>
      </c>
      <c r="E153" s="126">
        <v>3528.49</v>
      </c>
      <c r="F153" s="127">
        <v>3528.49</v>
      </c>
    </row>
    <row r="154" spans="1:6" x14ac:dyDescent="0.3">
      <c r="A154" s="129">
        <v>44782</v>
      </c>
      <c r="B154" s="125">
        <v>6.0499999999999998E-2</v>
      </c>
      <c r="C154" s="124">
        <v>6.1699999999999998E-2</v>
      </c>
      <c r="D154" s="126">
        <v>3534.06</v>
      </c>
      <c r="E154" s="126">
        <v>3526</v>
      </c>
      <c r="F154" s="127">
        <v>3526</v>
      </c>
    </row>
    <row r="155" spans="1:6" x14ac:dyDescent="0.3">
      <c r="A155" s="129">
        <v>44783</v>
      </c>
      <c r="B155" s="125">
        <v>6.1600000000000002E-2</v>
      </c>
      <c r="C155" s="124">
        <v>6.2800000000000009E-2</v>
      </c>
      <c r="D155" s="126">
        <v>3526.79</v>
      </c>
      <c r="E155" s="126">
        <v>3518.75</v>
      </c>
      <c r="F155" s="127">
        <v>3518.75</v>
      </c>
    </row>
    <row r="156" spans="1:6" x14ac:dyDescent="0.3">
      <c r="A156" s="129">
        <v>44784</v>
      </c>
      <c r="B156" s="125">
        <v>6.1799999999999994E-2</v>
      </c>
      <c r="C156" s="124">
        <v>6.3E-2</v>
      </c>
      <c r="D156" s="126">
        <v>3525.52</v>
      </c>
      <c r="E156" s="126">
        <v>3517.51</v>
      </c>
      <c r="F156" s="127">
        <v>3517.51</v>
      </c>
    </row>
    <row r="157" spans="1:6" x14ac:dyDescent="0.3">
      <c r="A157" s="129">
        <v>44785</v>
      </c>
      <c r="B157" s="125">
        <v>6.2699999999999992E-2</v>
      </c>
      <c r="C157" s="124">
        <v>6.3899999999999998E-2</v>
      </c>
      <c r="D157" s="126">
        <v>3518.09</v>
      </c>
      <c r="E157" s="126">
        <v>3511.65</v>
      </c>
      <c r="F157" s="127">
        <v>3511.65</v>
      </c>
    </row>
    <row r="158" spans="1:6" x14ac:dyDescent="0.3">
      <c r="A158" s="129">
        <v>44788</v>
      </c>
      <c r="B158" s="125">
        <v>6.2300000000000001E-2</v>
      </c>
      <c r="C158" s="124">
        <v>6.3500000000000001E-2</v>
      </c>
      <c r="D158" s="126">
        <v>3521.31</v>
      </c>
      <c r="E158" s="126">
        <v>3512.82</v>
      </c>
      <c r="F158" s="127">
        <v>3512.82</v>
      </c>
    </row>
    <row r="159" spans="1:6" x14ac:dyDescent="0.3">
      <c r="A159" s="129">
        <v>44789</v>
      </c>
      <c r="B159" s="125">
        <v>6.1900000000000004E-2</v>
      </c>
      <c r="C159" s="124">
        <v>6.3099999999999989E-2</v>
      </c>
      <c r="D159" s="126">
        <v>3524.53</v>
      </c>
      <c r="E159" s="126">
        <v>3516.05</v>
      </c>
      <c r="F159" s="127">
        <v>3516.05</v>
      </c>
    </row>
    <row r="160" spans="1:6" x14ac:dyDescent="0.3">
      <c r="A160" s="129">
        <v>44790</v>
      </c>
      <c r="B160" s="125">
        <v>6.3600000000000004E-2</v>
      </c>
      <c r="C160" s="124">
        <v>6.480000000000001E-2</v>
      </c>
      <c r="D160" s="126">
        <v>3513.96</v>
      </c>
      <c r="E160" s="126">
        <v>3505.51</v>
      </c>
      <c r="F160" s="127">
        <v>3505.51</v>
      </c>
    </row>
    <row r="161" spans="1:6" x14ac:dyDescent="0.3">
      <c r="A161" s="129">
        <v>44791</v>
      </c>
      <c r="B161" s="125">
        <v>6.3799999999999996E-2</v>
      </c>
      <c r="C161" s="124">
        <v>6.5000000000000002E-2</v>
      </c>
      <c r="D161" s="126">
        <v>3513.25</v>
      </c>
      <c r="E161" s="126">
        <v>3504.82</v>
      </c>
      <c r="F161" s="127">
        <v>3504.82</v>
      </c>
    </row>
    <row r="162" spans="1:6" x14ac:dyDescent="0.3">
      <c r="A162" s="129">
        <v>44792</v>
      </c>
      <c r="B162" s="125">
        <v>6.4100000000000004E-2</v>
      </c>
      <c r="C162" s="124">
        <v>6.5299999999999997E-2</v>
      </c>
      <c r="D162" s="126">
        <v>3511.38</v>
      </c>
      <c r="E162" s="126">
        <v>3503.48</v>
      </c>
      <c r="F162" s="127">
        <v>3503.48</v>
      </c>
    </row>
    <row r="163" spans="1:6" x14ac:dyDescent="0.3">
      <c r="A163" s="129">
        <v>44795</v>
      </c>
      <c r="B163" s="125">
        <v>6.3399999999999998E-2</v>
      </c>
      <c r="C163" s="124">
        <v>6.4600000000000005E-2</v>
      </c>
      <c r="D163" s="126">
        <v>3516.53</v>
      </c>
      <c r="E163" s="126">
        <v>3508.13</v>
      </c>
      <c r="F163" s="127">
        <v>3508.13</v>
      </c>
    </row>
    <row r="164" spans="1:6" x14ac:dyDescent="0.3">
      <c r="A164" s="129">
        <v>44796</v>
      </c>
      <c r="B164" s="125">
        <v>6.4699999999999994E-2</v>
      </c>
      <c r="C164" s="124">
        <v>6.59E-2</v>
      </c>
      <c r="D164" s="126">
        <v>3508.7</v>
      </c>
      <c r="E164" s="126">
        <v>3500.32</v>
      </c>
      <c r="F164" s="127">
        <v>3500.32</v>
      </c>
    </row>
    <row r="165" spans="1:6" x14ac:dyDescent="0.3">
      <c r="A165" s="129">
        <v>44797</v>
      </c>
      <c r="B165" s="125">
        <v>6.5500000000000003E-2</v>
      </c>
      <c r="C165" s="124">
        <v>6.6699999999999995E-2</v>
      </c>
      <c r="D165" s="126">
        <v>3504.15</v>
      </c>
      <c r="E165" s="126">
        <v>3495.79</v>
      </c>
      <c r="F165" s="127">
        <v>3495.79</v>
      </c>
    </row>
    <row r="166" spans="1:6" x14ac:dyDescent="0.3">
      <c r="A166" s="129">
        <v>44798</v>
      </c>
      <c r="B166" s="125">
        <v>6.5599999999999992E-2</v>
      </c>
      <c r="C166" s="124">
        <v>6.6799999999999998E-2</v>
      </c>
      <c r="D166" s="126">
        <v>3502.88</v>
      </c>
      <c r="E166" s="126">
        <v>3494.66</v>
      </c>
      <c r="F166" s="127">
        <v>3494.66</v>
      </c>
    </row>
    <row r="167" spans="1:6" x14ac:dyDescent="0.3">
      <c r="A167" s="129">
        <v>44799</v>
      </c>
      <c r="B167" s="125">
        <v>6.6299999999999998E-2</v>
      </c>
      <c r="C167" s="124">
        <v>6.7500000000000004E-2</v>
      </c>
      <c r="D167" s="126">
        <v>3498.16</v>
      </c>
      <c r="E167" s="126">
        <v>3490.7</v>
      </c>
      <c r="F167" s="127">
        <v>3490.7</v>
      </c>
    </row>
    <row r="168" spans="1:6" x14ac:dyDescent="0.3">
      <c r="A168" s="129">
        <v>44802</v>
      </c>
      <c r="B168" s="125">
        <v>6.7000000000000004E-2</v>
      </c>
      <c r="C168" s="124">
        <v>6.8199999999999997E-2</v>
      </c>
      <c r="D168" s="126">
        <v>3494.2</v>
      </c>
      <c r="E168" s="126">
        <v>3486.02</v>
      </c>
      <c r="F168" s="127">
        <v>3486.02</v>
      </c>
    </row>
    <row r="169" spans="1:6" x14ac:dyDescent="0.3">
      <c r="A169" s="129">
        <v>44803</v>
      </c>
      <c r="B169" s="125">
        <v>6.6600000000000006E-2</v>
      </c>
      <c r="C169" s="124">
        <v>6.7799999999999999E-2</v>
      </c>
      <c r="D169" s="126">
        <v>3497.28</v>
      </c>
      <c r="E169" s="126">
        <v>3489.11</v>
      </c>
      <c r="F169" s="127">
        <v>3489.11</v>
      </c>
    </row>
    <row r="170" spans="1:6" x14ac:dyDescent="0.3">
      <c r="A170" s="129">
        <v>44804</v>
      </c>
      <c r="B170" s="125">
        <v>6.7599999999999993E-2</v>
      </c>
      <c r="C170" s="124">
        <v>6.88E-2</v>
      </c>
      <c r="D170" s="126">
        <v>3491.45</v>
      </c>
      <c r="E170" s="126">
        <v>3483.3</v>
      </c>
      <c r="F170" s="127">
        <v>3483.3</v>
      </c>
    </row>
    <row r="171" spans="1:6" x14ac:dyDescent="0.3">
      <c r="A171" s="129">
        <v>44805</v>
      </c>
      <c r="B171" s="125">
        <v>6.6900000000000001E-2</v>
      </c>
      <c r="C171" s="124">
        <v>6.8099999999999994E-2</v>
      </c>
      <c r="D171" s="126">
        <v>3496.42</v>
      </c>
      <c r="E171" s="126">
        <v>3488.28</v>
      </c>
      <c r="F171" s="127">
        <v>3488.28</v>
      </c>
    </row>
    <row r="172" spans="1:6" x14ac:dyDescent="0.3">
      <c r="A172" s="129">
        <v>44806</v>
      </c>
      <c r="B172" s="125">
        <v>6.6000000000000003E-2</v>
      </c>
      <c r="C172" s="124">
        <v>6.7199999999999996E-2</v>
      </c>
      <c r="D172" s="126">
        <v>3501.91</v>
      </c>
      <c r="E172" s="126">
        <v>3494.52</v>
      </c>
      <c r="F172" s="127">
        <v>3494.52</v>
      </c>
    </row>
    <row r="173" spans="1:6" x14ac:dyDescent="0.3">
      <c r="A173" s="129">
        <v>44809</v>
      </c>
      <c r="B173" s="125">
        <v>6.59E-2</v>
      </c>
      <c r="C173" s="124">
        <v>6.7099999999999993E-2</v>
      </c>
      <c r="D173" s="126">
        <v>3503.06</v>
      </c>
      <c r="E173" s="126">
        <v>3494.93</v>
      </c>
      <c r="F173" s="127">
        <v>3494.93</v>
      </c>
    </row>
    <row r="174" spans="1:6" x14ac:dyDescent="0.3">
      <c r="A174" s="129">
        <v>44810</v>
      </c>
      <c r="B174" s="125">
        <v>6.7000000000000004E-2</v>
      </c>
      <c r="C174" s="124">
        <v>6.8199999999999997E-2</v>
      </c>
      <c r="D174" s="126">
        <v>3496.25</v>
      </c>
      <c r="E174" s="126">
        <v>3488.52</v>
      </c>
      <c r="F174" s="127">
        <v>3488.52</v>
      </c>
    </row>
    <row r="175" spans="1:6" x14ac:dyDescent="0.3">
      <c r="A175" s="129">
        <v>44812</v>
      </c>
      <c r="B175" s="125">
        <v>6.7599999999999993E-2</v>
      </c>
      <c r="C175" s="124">
        <v>6.88E-2</v>
      </c>
      <c r="D175" s="126">
        <v>3493</v>
      </c>
      <c r="E175" s="126">
        <v>3484.92</v>
      </c>
      <c r="F175" s="127">
        <v>3484.92</v>
      </c>
    </row>
    <row r="176" spans="1:6" x14ac:dyDescent="0.3">
      <c r="A176" s="129">
        <v>44813</v>
      </c>
      <c r="B176" s="125">
        <v>6.8199999999999997E-2</v>
      </c>
      <c r="C176" s="124">
        <v>6.9400000000000003E-2</v>
      </c>
      <c r="D176" s="126">
        <v>3488.08</v>
      </c>
      <c r="E176" s="126">
        <v>3480.87</v>
      </c>
      <c r="F176" s="127">
        <v>3480.87</v>
      </c>
    </row>
    <row r="177" spans="1:6" x14ac:dyDescent="0.3">
      <c r="A177" s="129">
        <v>44816</v>
      </c>
      <c r="B177" s="125">
        <v>6.7099999999999993E-2</v>
      </c>
      <c r="C177" s="124">
        <v>6.83E-2</v>
      </c>
      <c r="D177" s="126">
        <v>3495.47</v>
      </c>
      <c r="E177" s="126">
        <v>3487.46</v>
      </c>
      <c r="F177" s="127">
        <v>3487.46</v>
      </c>
    </row>
    <row r="178" spans="1:6" x14ac:dyDescent="0.3">
      <c r="A178" s="129">
        <v>44817</v>
      </c>
      <c r="B178" s="125">
        <v>6.8600000000000008E-2</v>
      </c>
      <c r="C178" s="124">
        <v>6.9800000000000001E-2</v>
      </c>
      <c r="D178" s="126">
        <v>3486.61</v>
      </c>
      <c r="E178" s="126">
        <v>3478.62</v>
      </c>
      <c r="F178" s="127">
        <v>3478.62</v>
      </c>
    </row>
    <row r="179" spans="1:6" x14ac:dyDescent="0.3">
      <c r="A179" s="129">
        <v>44818</v>
      </c>
      <c r="B179" s="125">
        <v>6.8499999999999991E-2</v>
      </c>
      <c r="C179" s="124">
        <v>6.9699999999999998E-2</v>
      </c>
      <c r="D179" s="126">
        <v>3487.74</v>
      </c>
      <c r="E179" s="126">
        <v>3479.76</v>
      </c>
      <c r="F179" s="127">
        <v>3479.76</v>
      </c>
    </row>
    <row r="180" spans="1:6" x14ac:dyDescent="0.3">
      <c r="A180" s="129">
        <v>44819</v>
      </c>
      <c r="B180" s="125">
        <v>6.7000000000000004E-2</v>
      </c>
      <c r="C180" s="124">
        <v>6.8199999999999997E-2</v>
      </c>
      <c r="D180" s="126">
        <v>3497.85</v>
      </c>
      <c r="E180" s="126">
        <v>3489.61</v>
      </c>
      <c r="F180" s="127">
        <v>3489.61</v>
      </c>
    </row>
    <row r="181" spans="1:6" x14ac:dyDescent="0.3">
      <c r="A181" s="129">
        <v>44820</v>
      </c>
      <c r="B181" s="125">
        <v>6.8099999999999994E-2</v>
      </c>
      <c r="C181" s="124">
        <v>6.93E-2</v>
      </c>
      <c r="D181" s="126">
        <v>3491.5</v>
      </c>
      <c r="E181" s="126">
        <v>3483.56</v>
      </c>
      <c r="F181" s="127">
        <v>3483.56</v>
      </c>
    </row>
    <row r="182" spans="1:6" x14ac:dyDescent="0.3">
      <c r="A182" s="129">
        <v>44823</v>
      </c>
      <c r="B182" s="125">
        <v>6.7900000000000002E-2</v>
      </c>
      <c r="C182" s="124">
        <v>6.9099999999999995E-2</v>
      </c>
      <c r="D182" s="126">
        <v>3493.51</v>
      </c>
      <c r="E182" s="126">
        <v>3485.3</v>
      </c>
      <c r="F182" s="127">
        <v>3485.3</v>
      </c>
    </row>
    <row r="183" spans="1:6" x14ac:dyDescent="0.3">
      <c r="A183" s="129">
        <v>44824</v>
      </c>
      <c r="B183" s="125">
        <v>6.83E-2</v>
      </c>
      <c r="C183" s="124">
        <v>6.9500000000000006E-2</v>
      </c>
      <c r="D183" s="126">
        <v>3491.81</v>
      </c>
      <c r="E183" s="126">
        <v>3483.62</v>
      </c>
      <c r="F183" s="127">
        <v>3483.62</v>
      </c>
    </row>
    <row r="184" spans="1:6" x14ac:dyDescent="0.3">
      <c r="A184" s="129">
        <v>44825</v>
      </c>
      <c r="B184" s="125">
        <v>6.7900000000000002E-2</v>
      </c>
      <c r="C184" s="124">
        <v>6.9099999999999995E-2</v>
      </c>
      <c r="D184" s="126">
        <v>3495.05</v>
      </c>
      <c r="E184" s="126">
        <v>3486.87</v>
      </c>
      <c r="F184" s="127">
        <v>3486.87</v>
      </c>
    </row>
    <row r="185" spans="1:6" x14ac:dyDescent="0.3">
      <c r="A185" s="129">
        <v>44826</v>
      </c>
      <c r="B185" s="125">
        <v>6.7099999999999993E-2</v>
      </c>
      <c r="C185" s="124">
        <v>6.83E-2</v>
      </c>
      <c r="D185" s="126">
        <v>3500.75</v>
      </c>
      <c r="E185" s="126">
        <v>3492.58</v>
      </c>
      <c r="F185" s="127">
        <v>3492.58</v>
      </c>
    </row>
    <row r="186" spans="1:6" x14ac:dyDescent="0.3">
      <c r="A186" s="129">
        <v>44827</v>
      </c>
      <c r="B186" s="125">
        <v>6.5700000000000008E-2</v>
      </c>
      <c r="C186" s="124">
        <v>6.6900000000000001E-2</v>
      </c>
      <c r="D186" s="126">
        <v>3509.87</v>
      </c>
      <c r="E186" s="126">
        <v>3501.99</v>
      </c>
      <c r="F186" s="127">
        <v>3501.99</v>
      </c>
    </row>
    <row r="187" spans="1:6" x14ac:dyDescent="0.3">
      <c r="A187" s="129">
        <v>44830</v>
      </c>
      <c r="B187" s="125">
        <v>6.7500000000000004E-2</v>
      </c>
      <c r="C187" s="124">
        <v>6.8699999999999997E-2</v>
      </c>
      <c r="D187" s="126">
        <v>3499.54</v>
      </c>
      <c r="E187" s="126">
        <v>3491.4</v>
      </c>
      <c r="F187" s="127">
        <v>3491.4</v>
      </c>
    </row>
    <row r="188" spans="1:6" x14ac:dyDescent="0.3">
      <c r="A188" s="129">
        <v>44831</v>
      </c>
      <c r="B188" s="125">
        <v>6.6600000000000006E-2</v>
      </c>
      <c r="C188" s="124">
        <v>6.7799999999999999E-2</v>
      </c>
      <c r="D188" s="126">
        <v>3505.83</v>
      </c>
      <c r="E188" s="126">
        <v>3497.7</v>
      </c>
      <c r="F188" s="127">
        <v>3497.7</v>
      </c>
    </row>
    <row r="189" spans="1:6" x14ac:dyDescent="0.3">
      <c r="A189" s="129">
        <v>44832</v>
      </c>
      <c r="B189" s="125">
        <v>6.7000000000000004E-2</v>
      </c>
      <c r="C189" s="124">
        <v>6.8199999999999997E-2</v>
      </c>
      <c r="D189" s="126">
        <v>3500.86</v>
      </c>
      <c r="E189" s="126">
        <v>3492.99</v>
      </c>
      <c r="F189" s="127">
        <v>3492.99</v>
      </c>
    </row>
    <row r="190" spans="1:6" x14ac:dyDescent="0.3">
      <c r="A190" s="129">
        <v>44833</v>
      </c>
      <c r="B190" s="125">
        <v>6.6900000000000001E-2</v>
      </c>
      <c r="C190" s="124">
        <v>6.8099999999999994E-2</v>
      </c>
      <c r="D190" s="126">
        <v>3501.99</v>
      </c>
      <c r="E190" s="126">
        <v>3494.14</v>
      </c>
      <c r="F190" s="127">
        <v>3494.14</v>
      </c>
    </row>
    <row r="191" spans="1:6" x14ac:dyDescent="0.3">
      <c r="A191" s="129">
        <v>44834</v>
      </c>
      <c r="B191" s="125">
        <v>6.5700000000000008E-2</v>
      </c>
      <c r="C191" s="124">
        <v>6.6900000000000001E-2</v>
      </c>
      <c r="D191" s="126">
        <v>3509.1</v>
      </c>
      <c r="E191" s="126">
        <v>3501.99</v>
      </c>
      <c r="F191" s="127">
        <v>3501.99</v>
      </c>
    </row>
    <row r="192" spans="1:6" x14ac:dyDescent="0.3">
      <c r="A192" s="129">
        <v>44837</v>
      </c>
      <c r="B192" s="125">
        <v>6.480000000000001E-2</v>
      </c>
      <c r="C192" s="124">
        <v>6.6000000000000003E-2</v>
      </c>
      <c r="D192" s="126">
        <v>3515.11</v>
      </c>
      <c r="E192" s="126">
        <v>3507.26</v>
      </c>
      <c r="F192" s="127">
        <v>3507.26</v>
      </c>
    </row>
    <row r="193" spans="1:6" x14ac:dyDescent="0.3">
      <c r="A193" s="129">
        <v>44838</v>
      </c>
      <c r="B193" s="125">
        <v>6.4500000000000002E-2</v>
      </c>
      <c r="C193" s="124">
        <v>6.5700000000000008E-2</v>
      </c>
      <c r="D193" s="126">
        <v>3517.44</v>
      </c>
      <c r="E193" s="126">
        <v>3509.61</v>
      </c>
      <c r="F193" s="127">
        <v>3509.61</v>
      </c>
    </row>
    <row r="194" spans="1:6" x14ac:dyDescent="0.3">
      <c r="A194" s="129">
        <v>44839</v>
      </c>
      <c r="B194" s="125">
        <v>6.5799999999999997E-2</v>
      </c>
      <c r="C194" s="124">
        <v>6.7000000000000004E-2</v>
      </c>
      <c r="D194" s="126">
        <v>3510.03</v>
      </c>
      <c r="E194" s="126">
        <v>3502.22</v>
      </c>
      <c r="F194" s="127">
        <v>3502.22</v>
      </c>
    </row>
    <row r="195" spans="1:6" x14ac:dyDescent="0.3">
      <c r="A195" s="129">
        <v>44840</v>
      </c>
      <c r="B195" s="125">
        <v>6.4600000000000005E-2</v>
      </c>
      <c r="C195" s="124">
        <v>6.5799999999999997E-2</v>
      </c>
      <c r="D195" s="126">
        <v>3517.83</v>
      </c>
      <c r="E195" s="126">
        <v>3510.03</v>
      </c>
      <c r="F195" s="127">
        <v>3510.03</v>
      </c>
    </row>
    <row r="196" spans="1:6" x14ac:dyDescent="0.3">
      <c r="A196" s="129">
        <v>44841</v>
      </c>
      <c r="B196" s="125">
        <v>6.4199999999999993E-2</v>
      </c>
      <c r="C196" s="124">
        <v>6.54E-2</v>
      </c>
      <c r="D196" s="126">
        <v>3520</v>
      </c>
      <c r="E196" s="126">
        <v>3512.97</v>
      </c>
      <c r="F196" s="127">
        <v>3512.97</v>
      </c>
    </row>
    <row r="197" spans="1:6" x14ac:dyDescent="0.3">
      <c r="A197" s="129">
        <v>44844</v>
      </c>
      <c r="B197" s="125">
        <v>6.3500000000000001E-2</v>
      </c>
      <c r="C197" s="124">
        <v>6.4699999999999994E-2</v>
      </c>
      <c r="D197" s="126">
        <v>3524.74</v>
      </c>
      <c r="E197" s="126">
        <v>3516.97</v>
      </c>
      <c r="F197" s="127">
        <v>3516.97</v>
      </c>
    </row>
    <row r="198" spans="1:6" x14ac:dyDescent="0.3">
      <c r="A198" s="129">
        <v>44845</v>
      </c>
      <c r="B198" s="125">
        <v>6.4399999999999999E-2</v>
      </c>
      <c r="C198" s="124">
        <v>6.5599999999999992E-2</v>
      </c>
      <c r="D198" s="126">
        <v>3520.39</v>
      </c>
      <c r="E198" s="126">
        <v>3512.94</v>
      </c>
      <c r="F198" s="127">
        <v>3512.94</v>
      </c>
    </row>
    <row r="199" spans="1:6" x14ac:dyDescent="0.3">
      <c r="A199" s="129">
        <v>44847</v>
      </c>
      <c r="B199" s="125">
        <v>6.3600000000000004E-2</v>
      </c>
      <c r="C199" s="124">
        <v>6.480000000000001E-2</v>
      </c>
      <c r="D199" s="126">
        <v>3525.76</v>
      </c>
      <c r="E199" s="126">
        <v>3517.97</v>
      </c>
      <c r="F199" s="127">
        <v>3517.97</v>
      </c>
    </row>
    <row r="200" spans="1:6" x14ac:dyDescent="0.3">
      <c r="A200" s="129">
        <v>44848</v>
      </c>
      <c r="B200" s="125">
        <v>6.3399999999999998E-2</v>
      </c>
      <c r="C200" s="124">
        <v>6.4600000000000005E-2</v>
      </c>
      <c r="D200" s="126">
        <v>3528.23</v>
      </c>
      <c r="E200" s="126">
        <v>3519.71</v>
      </c>
      <c r="F200" s="127">
        <v>3519.71</v>
      </c>
    </row>
    <row r="201" spans="1:6" x14ac:dyDescent="0.3">
      <c r="A201" s="129">
        <v>44851</v>
      </c>
      <c r="B201" s="125">
        <v>6.2600000000000003E-2</v>
      </c>
      <c r="C201" s="124">
        <v>6.3799999999999996E-2</v>
      </c>
      <c r="D201" s="126">
        <v>3534.3</v>
      </c>
      <c r="E201" s="126">
        <v>3525.82</v>
      </c>
      <c r="F201" s="127">
        <v>3525.82</v>
      </c>
    </row>
    <row r="202" spans="1:6" x14ac:dyDescent="0.3">
      <c r="A202" s="129">
        <v>44852</v>
      </c>
      <c r="B202" s="125">
        <v>6.2699999999999992E-2</v>
      </c>
      <c r="C202" s="124">
        <v>6.3899999999999998E-2</v>
      </c>
      <c r="D202" s="126">
        <v>3534.93</v>
      </c>
      <c r="E202" s="126">
        <v>3526.46</v>
      </c>
      <c r="F202" s="127">
        <v>3526.46</v>
      </c>
    </row>
    <row r="203" spans="1:6" x14ac:dyDescent="0.3">
      <c r="A203" s="129">
        <v>44853</v>
      </c>
      <c r="B203" s="125">
        <v>6.2300000000000001E-2</v>
      </c>
      <c r="C203" s="124">
        <v>6.3500000000000001E-2</v>
      </c>
      <c r="D203" s="126">
        <v>3538.57</v>
      </c>
      <c r="E203" s="126">
        <v>3530.11</v>
      </c>
      <c r="F203" s="127">
        <v>3530.11</v>
      </c>
    </row>
    <row r="204" spans="1:6" x14ac:dyDescent="0.3">
      <c r="A204" s="129">
        <v>44854</v>
      </c>
      <c r="B204" s="125">
        <v>6.13E-2</v>
      </c>
      <c r="C204" s="124">
        <v>6.25E-2</v>
      </c>
      <c r="D204" s="126">
        <v>3545.81</v>
      </c>
      <c r="E204" s="126">
        <v>3537.36</v>
      </c>
      <c r="F204" s="127">
        <v>3537.36</v>
      </c>
    </row>
    <row r="205" spans="1:6" x14ac:dyDescent="0.3">
      <c r="A205" s="129">
        <v>44855</v>
      </c>
      <c r="B205" s="125">
        <v>6.1100000000000002E-2</v>
      </c>
      <c r="C205" s="124">
        <v>6.2300000000000001E-2</v>
      </c>
      <c r="D205" s="126">
        <v>3548.99</v>
      </c>
      <c r="E205" s="126">
        <v>3539.79</v>
      </c>
      <c r="F205" s="127">
        <v>3539.79</v>
      </c>
    </row>
    <row r="206" spans="1:6" x14ac:dyDescent="0.3">
      <c r="A206" s="129">
        <v>44858</v>
      </c>
      <c r="B206" s="125">
        <v>6.08E-2</v>
      </c>
      <c r="C206" s="124">
        <v>6.2E-2</v>
      </c>
      <c r="D206" s="126">
        <v>3552.01</v>
      </c>
      <c r="E206" s="126">
        <v>3543.57</v>
      </c>
      <c r="F206" s="127">
        <v>3543.57</v>
      </c>
    </row>
    <row r="207" spans="1:6" x14ac:dyDescent="0.3">
      <c r="A207" s="129">
        <v>44859</v>
      </c>
      <c r="B207" s="125">
        <v>6.0199999999999997E-2</v>
      </c>
      <c r="C207" s="124">
        <v>6.1399999999999996E-2</v>
      </c>
      <c r="D207" s="126">
        <v>3556.82</v>
      </c>
      <c r="E207" s="126">
        <v>3548.4</v>
      </c>
      <c r="F207" s="127">
        <v>3548.4</v>
      </c>
    </row>
    <row r="208" spans="1:6" x14ac:dyDescent="0.3">
      <c r="A208" s="129">
        <v>44860</v>
      </c>
      <c r="B208" s="125">
        <v>6.0700000000000004E-2</v>
      </c>
      <c r="C208" s="124">
        <v>6.1900000000000004E-2</v>
      </c>
      <c r="D208" s="126">
        <v>3556.53</v>
      </c>
      <c r="E208" s="126">
        <v>3548</v>
      </c>
      <c r="F208" s="127">
        <v>3548</v>
      </c>
    </row>
    <row r="209" spans="1:6" x14ac:dyDescent="0.3">
      <c r="A209" s="129">
        <v>44861</v>
      </c>
      <c r="B209" s="125">
        <v>6.0599999999999994E-2</v>
      </c>
      <c r="C209" s="124">
        <v>6.1799999999999994E-2</v>
      </c>
      <c r="D209" s="126">
        <v>3558.47</v>
      </c>
      <c r="E209" s="126">
        <v>3549.94</v>
      </c>
      <c r="F209" s="127">
        <v>3549.94</v>
      </c>
    </row>
    <row r="210" spans="1:6" x14ac:dyDescent="0.3">
      <c r="A210" s="129">
        <v>44862</v>
      </c>
      <c r="B210" s="125">
        <v>5.9500000000000004E-2</v>
      </c>
      <c r="C210" s="124">
        <v>6.0700000000000004E-2</v>
      </c>
      <c r="D210" s="126">
        <v>3567.4</v>
      </c>
      <c r="E210" s="126">
        <v>3557.87</v>
      </c>
      <c r="F210" s="127">
        <v>3557.87</v>
      </c>
    </row>
    <row r="211" spans="1:6" x14ac:dyDescent="0.3">
      <c r="A211" s="129">
        <v>44865</v>
      </c>
      <c r="B211" s="125">
        <v>5.9699999999999996E-2</v>
      </c>
      <c r="C211" s="124">
        <v>6.0899999999999996E-2</v>
      </c>
      <c r="D211" s="126">
        <v>3567.53</v>
      </c>
      <c r="E211" s="126">
        <v>3559.02</v>
      </c>
      <c r="F211" s="127">
        <v>3559.02</v>
      </c>
    </row>
    <row r="212" spans="1:6" x14ac:dyDescent="0.3">
      <c r="A212" s="129">
        <v>44866</v>
      </c>
      <c r="B212" s="125">
        <v>5.7699999999999994E-2</v>
      </c>
      <c r="C212" s="124">
        <v>5.8899999999999994E-2</v>
      </c>
      <c r="D212" s="126">
        <v>3581.34</v>
      </c>
      <c r="E212" s="126">
        <v>3572.32</v>
      </c>
      <c r="F212" s="127">
        <v>3572.32</v>
      </c>
    </row>
    <row r="213" spans="1:6" x14ac:dyDescent="0.3">
      <c r="A213" s="129">
        <v>44868</v>
      </c>
      <c r="B213" s="125">
        <v>5.8200000000000002E-2</v>
      </c>
      <c r="C213" s="124">
        <v>5.9400000000000001E-2</v>
      </c>
      <c r="D213" s="126">
        <v>3579.65</v>
      </c>
      <c r="E213" s="126">
        <v>3571.15</v>
      </c>
      <c r="F213" s="127">
        <v>3571.15</v>
      </c>
    </row>
    <row r="214" spans="1:6" x14ac:dyDescent="0.3">
      <c r="A214" s="129">
        <v>44869</v>
      </c>
      <c r="B214" s="125">
        <v>5.8099999999999999E-2</v>
      </c>
      <c r="C214" s="124">
        <v>5.9299999999999999E-2</v>
      </c>
      <c r="D214" s="126">
        <v>3582.57</v>
      </c>
      <c r="E214" s="126">
        <v>3573.07</v>
      </c>
      <c r="F214" s="127">
        <v>3573.07</v>
      </c>
    </row>
    <row r="215" spans="1:6" x14ac:dyDescent="0.3">
      <c r="A215" s="129">
        <v>44872</v>
      </c>
      <c r="B215" s="125">
        <v>5.7999999999999996E-2</v>
      </c>
      <c r="C215" s="124">
        <v>5.9200000000000003E-2</v>
      </c>
      <c r="D215" s="126">
        <v>3584.48</v>
      </c>
      <c r="E215" s="126">
        <v>3576</v>
      </c>
      <c r="F215" s="127">
        <v>3576</v>
      </c>
    </row>
    <row r="216" spans="1:6" x14ac:dyDescent="0.3">
      <c r="A216" s="129">
        <v>44873</v>
      </c>
      <c r="B216" s="125">
        <v>5.8799999999999998E-2</v>
      </c>
      <c r="C216" s="124">
        <v>0.06</v>
      </c>
      <c r="D216" s="126">
        <v>3581.03</v>
      </c>
      <c r="E216" s="126">
        <v>3572.57</v>
      </c>
      <c r="F216" s="127">
        <v>3572.57</v>
      </c>
    </row>
    <row r="217" spans="1:6" x14ac:dyDescent="0.3">
      <c r="A217" s="129">
        <v>44874</v>
      </c>
      <c r="B217" s="125">
        <v>5.9000000000000004E-2</v>
      </c>
      <c r="C217" s="124">
        <v>6.0199999999999997E-2</v>
      </c>
      <c r="D217" s="126">
        <v>3581.16</v>
      </c>
      <c r="E217" s="126">
        <v>3572.72</v>
      </c>
      <c r="F217" s="127">
        <v>3572.72</v>
      </c>
    </row>
    <row r="218" spans="1:6" x14ac:dyDescent="0.3">
      <c r="A218" s="129">
        <v>44875</v>
      </c>
      <c r="B218" s="125">
        <v>6.2199999999999998E-2</v>
      </c>
      <c r="C218" s="124">
        <v>6.3399999999999998E-2</v>
      </c>
      <c r="D218" s="126">
        <v>3568.25</v>
      </c>
      <c r="E218" s="126">
        <v>3559.67</v>
      </c>
      <c r="F218" s="127">
        <v>3559.67</v>
      </c>
    </row>
    <row r="219" spans="1:6" x14ac:dyDescent="0.3">
      <c r="A219" s="129">
        <v>44876</v>
      </c>
      <c r="B219" s="125">
        <v>6.59E-2</v>
      </c>
      <c r="C219" s="124">
        <v>6.7099999999999993E-2</v>
      </c>
      <c r="D219" s="126">
        <v>3549.52</v>
      </c>
      <c r="E219" s="126">
        <v>3539.63</v>
      </c>
      <c r="F219" s="127">
        <v>3539.63</v>
      </c>
    </row>
    <row r="220" spans="1:6" x14ac:dyDescent="0.3">
      <c r="A220" s="129">
        <v>44879</v>
      </c>
      <c r="B220" s="125">
        <v>6.4899999999999999E-2</v>
      </c>
      <c r="C220" s="124">
        <v>6.6100000000000006E-2</v>
      </c>
      <c r="D220" s="126">
        <v>3557.44</v>
      </c>
      <c r="E220" s="126">
        <v>3548.36</v>
      </c>
      <c r="F220" s="127">
        <v>3548.36</v>
      </c>
    </row>
    <row r="221" spans="1:6" x14ac:dyDescent="0.3">
      <c r="A221" s="129">
        <v>44881</v>
      </c>
      <c r="B221" s="125">
        <v>6.4600000000000005E-2</v>
      </c>
      <c r="C221" s="124">
        <v>6.5799999999999997E-2</v>
      </c>
      <c r="D221" s="126">
        <v>3560.6</v>
      </c>
      <c r="E221" s="126">
        <v>3552.21</v>
      </c>
      <c r="F221" s="127">
        <v>3552.21</v>
      </c>
    </row>
    <row r="222" spans="1:6" x14ac:dyDescent="0.3">
      <c r="A222" s="129">
        <v>44882</v>
      </c>
      <c r="B222" s="125">
        <v>6.7099999999999993E-2</v>
      </c>
      <c r="C222" s="124">
        <v>6.83E-2</v>
      </c>
      <c r="D222" s="126">
        <v>3547.57</v>
      </c>
      <c r="E222" s="126">
        <v>3539.2</v>
      </c>
      <c r="F222" s="127">
        <v>3539.2</v>
      </c>
    </row>
    <row r="223" spans="1:6" x14ac:dyDescent="0.3">
      <c r="A223" s="129">
        <v>44883</v>
      </c>
      <c r="B223" s="125">
        <v>6.5199999999999994E-2</v>
      </c>
      <c r="C223" s="124">
        <v>6.6400000000000001E-2</v>
      </c>
      <c r="D223" s="126">
        <v>3561.04</v>
      </c>
      <c r="E223" s="126">
        <v>3551.6</v>
      </c>
      <c r="F223" s="127">
        <v>3551.6</v>
      </c>
    </row>
    <row r="224" spans="1:6" x14ac:dyDescent="0.3">
      <c r="A224" s="129">
        <v>44886</v>
      </c>
      <c r="B224" s="125">
        <v>6.6400000000000001E-2</v>
      </c>
      <c r="C224" s="124">
        <v>6.7599999999999993E-2</v>
      </c>
      <c r="D224" s="126">
        <v>3555.54</v>
      </c>
      <c r="E224" s="126">
        <v>3547.2</v>
      </c>
      <c r="F224" s="127">
        <v>3547.2</v>
      </c>
    </row>
    <row r="225" spans="1:6" x14ac:dyDescent="0.3">
      <c r="A225" s="129">
        <v>44887</v>
      </c>
      <c r="B225" s="125">
        <v>6.6199999999999995E-2</v>
      </c>
      <c r="C225" s="124">
        <v>6.7400000000000002E-2</v>
      </c>
      <c r="D225" s="126">
        <v>3558.13</v>
      </c>
      <c r="E225" s="126">
        <v>3549.8</v>
      </c>
      <c r="F225" s="127">
        <v>3549.8</v>
      </c>
    </row>
    <row r="226" spans="1:6" x14ac:dyDescent="0.3">
      <c r="A226" s="129">
        <v>44888</v>
      </c>
      <c r="B226" s="125">
        <v>6.88E-2</v>
      </c>
      <c r="C226" s="124">
        <v>7.0000000000000007E-2</v>
      </c>
      <c r="D226" s="126">
        <v>3544.71</v>
      </c>
      <c r="E226" s="126">
        <v>3536.4</v>
      </c>
      <c r="F226" s="127">
        <v>3536.4</v>
      </c>
    </row>
    <row r="227" spans="1:6" x14ac:dyDescent="0.3">
      <c r="A227" s="129">
        <v>44889</v>
      </c>
      <c r="B227" s="125">
        <v>6.9000000000000006E-2</v>
      </c>
      <c r="C227" s="124">
        <v>7.0199999999999999E-2</v>
      </c>
      <c r="D227" s="126">
        <v>3545.03</v>
      </c>
      <c r="E227" s="126">
        <v>3536.74</v>
      </c>
      <c r="F227" s="127">
        <v>3536.74</v>
      </c>
    </row>
    <row r="228" spans="1:6" x14ac:dyDescent="0.3">
      <c r="A228" s="129">
        <v>44890</v>
      </c>
      <c r="B228" s="125">
        <v>6.9599999999999995E-2</v>
      </c>
      <c r="C228" s="124">
        <v>7.0800000000000002E-2</v>
      </c>
      <c r="D228" s="126">
        <v>3545.69</v>
      </c>
      <c r="E228" s="126">
        <v>3536</v>
      </c>
      <c r="F228" s="127">
        <v>3536</v>
      </c>
    </row>
    <row r="229" spans="1:6" x14ac:dyDescent="0.3">
      <c r="A229" s="129">
        <v>44893</v>
      </c>
      <c r="B229" s="125">
        <v>7.0999999999999994E-2</v>
      </c>
      <c r="C229" s="124">
        <v>7.22E-2</v>
      </c>
      <c r="D229" s="126">
        <v>3539.38</v>
      </c>
      <c r="E229" s="126">
        <v>3531</v>
      </c>
      <c r="F229" s="127">
        <v>3531</v>
      </c>
    </row>
    <row r="230" spans="1:6" x14ac:dyDescent="0.3">
      <c r="A230" s="129">
        <v>44894</v>
      </c>
      <c r="B230" s="125">
        <v>7.0999999999999994E-2</v>
      </c>
      <c r="C230" s="124">
        <v>7.22E-2</v>
      </c>
      <c r="D230" s="126">
        <v>3540.99</v>
      </c>
      <c r="E230" s="126">
        <v>3532.62</v>
      </c>
      <c r="F230" s="127">
        <v>3532.62</v>
      </c>
    </row>
    <row r="231" spans="1:6" x14ac:dyDescent="0.3">
      <c r="A231" s="129">
        <v>44895</v>
      </c>
      <c r="B231" s="125">
        <v>6.9500000000000006E-2</v>
      </c>
      <c r="C231" s="124">
        <v>7.0699999999999999E-2</v>
      </c>
      <c r="D231" s="126">
        <v>3551.04</v>
      </c>
      <c r="E231" s="126">
        <v>3542.68</v>
      </c>
      <c r="F231" s="127">
        <v>3542.68</v>
      </c>
    </row>
    <row r="232" spans="1:6" x14ac:dyDescent="0.3">
      <c r="A232" s="129">
        <v>44896</v>
      </c>
      <c r="B232" s="125">
        <v>6.88E-2</v>
      </c>
      <c r="C232" s="124">
        <v>7.0000000000000007E-2</v>
      </c>
      <c r="D232" s="126">
        <v>3556.58</v>
      </c>
      <c r="E232" s="126">
        <v>3548.23</v>
      </c>
      <c r="F232" s="127">
        <v>3548.23</v>
      </c>
    </row>
    <row r="233" spans="1:6" x14ac:dyDescent="0.3">
      <c r="A233" s="129">
        <v>44897</v>
      </c>
      <c r="B233" s="125">
        <v>6.7799999999999999E-2</v>
      </c>
      <c r="C233" s="124">
        <v>6.9000000000000006E-2</v>
      </c>
      <c r="D233" s="126">
        <v>3565.11</v>
      </c>
      <c r="E233" s="126">
        <v>3555.46</v>
      </c>
      <c r="F233" s="127">
        <v>3555.46</v>
      </c>
    </row>
    <row r="234" spans="1:6" x14ac:dyDescent="0.3">
      <c r="A234" s="129">
        <v>44900</v>
      </c>
      <c r="B234" s="125">
        <v>6.7599999999999993E-2</v>
      </c>
      <c r="C234" s="124">
        <v>6.88E-2</v>
      </c>
      <c r="D234" s="126">
        <v>3567.82</v>
      </c>
      <c r="E234" s="126">
        <v>3559.47</v>
      </c>
      <c r="F234" s="127">
        <v>3559.47</v>
      </c>
    </row>
    <row r="235" spans="1:6" x14ac:dyDescent="0.3">
      <c r="A235" s="129">
        <v>44901</v>
      </c>
      <c r="B235" s="125">
        <v>6.7400000000000002E-2</v>
      </c>
      <c r="C235" s="124">
        <v>6.8600000000000008E-2</v>
      </c>
      <c r="D235" s="126">
        <v>3570.52</v>
      </c>
      <c r="E235" s="126">
        <v>3562.19</v>
      </c>
      <c r="F235" s="127">
        <v>3562.19</v>
      </c>
    </row>
    <row r="236" spans="1:6" x14ac:dyDescent="0.3">
      <c r="A236" s="129">
        <v>44902</v>
      </c>
      <c r="B236" s="125">
        <v>6.7000000000000004E-2</v>
      </c>
      <c r="C236" s="124">
        <v>6.8199999999999997E-2</v>
      </c>
      <c r="D236" s="126">
        <v>3574.35</v>
      </c>
      <c r="E236" s="126">
        <v>3566.02</v>
      </c>
      <c r="F236" s="127">
        <v>3566.02</v>
      </c>
    </row>
    <row r="237" spans="1:6" x14ac:dyDescent="0.3">
      <c r="A237" s="129">
        <v>44903</v>
      </c>
      <c r="B237" s="125">
        <v>6.6799999999999998E-2</v>
      </c>
      <c r="C237" s="124">
        <v>6.8000000000000005E-2</v>
      </c>
      <c r="D237" s="126">
        <v>3577.05</v>
      </c>
      <c r="E237" s="126">
        <v>3568.73</v>
      </c>
      <c r="F237" s="127">
        <v>3568.73</v>
      </c>
    </row>
    <row r="238" spans="1:6" x14ac:dyDescent="0.3">
      <c r="A238" s="129">
        <v>44904</v>
      </c>
      <c r="B238" s="125">
        <v>6.5000000000000002E-2</v>
      </c>
      <c r="C238" s="124">
        <v>6.6199999999999995E-2</v>
      </c>
      <c r="D238" s="126">
        <v>3585.54</v>
      </c>
      <c r="E238" s="126">
        <v>3576.43</v>
      </c>
      <c r="F238" s="127">
        <v>3576.43</v>
      </c>
    </row>
    <row r="239" spans="1:6" x14ac:dyDescent="0.3">
      <c r="A239" s="129">
        <v>44907</v>
      </c>
      <c r="B239" s="125">
        <v>6.59E-2</v>
      </c>
      <c r="C239" s="124">
        <v>6.7099999999999993E-2</v>
      </c>
      <c r="D239" s="126">
        <v>3581.88</v>
      </c>
      <c r="E239" s="126">
        <v>3573.76</v>
      </c>
      <c r="F239" s="127">
        <v>3573.76</v>
      </c>
    </row>
    <row r="240" spans="1:6" x14ac:dyDescent="0.3">
      <c r="A240" s="129">
        <v>44908</v>
      </c>
      <c r="B240" s="125">
        <v>6.7500000000000004E-2</v>
      </c>
      <c r="C240" s="124">
        <v>6.8699999999999997E-2</v>
      </c>
      <c r="D240" s="126">
        <v>3574.35</v>
      </c>
      <c r="E240" s="126">
        <v>3566.25</v>
      </c>
      <c r="F240" s="127">
        <v>3566.25</v>
      </c>
    </row>
    <row r="241" spans="1:6" x14ac:dyDescent="0.3">
      <c r="A241" s="129">
        <v>44909</v>
      </c>
      <c r="B241" s="125">
        <v>7.0099999999999996E-2</v>
      </c>
      <c r="C241" s="124">
        <v>7.1300000000000002E-2</v>
      </c>
      <c r="D241" s="126">
        <v>3561.36</v>
      </c>
      <c r="E241" s="126">
        <v>3553.29</v>
      </c>
      <c r="F241" s="127">
        <v>3553.29</v>
      </c>
    </row>
    <row r="242" spans="1:6" x14ac:dyDescent="0.3">
      <c r="A242" s="129">
        <v>44910</v>
      </c>
      <c r="B242" s="125">
        <v>6.9000000000000006E-2</v>
      </c>
      <c r="C242" s="124">
        <v>7.0199999999999999E-2</v>
      </c>
      <c r="D242" s="126">
        <v>3569.02</v>
      </c>
      <c r="E242" s="126">
        <v>3560.81</v>
      </c>
      <c r="F242" s="127">
        <v>3560.81</v>
      </c>
    </row>
    <row r="243" spans="1:6" x14ac:dyDescent="0.3">
      <c r="A243" s="129">
        <v>44911</v>
      </c>
      <c r="B243" s="125">
        <v>6.93E-2</v>
      </c>
      <c r="C243" s="124">
        <v>7.0499999999999993E-2</v>
      </c>
      <c r="D243" s="126">
        <v>3570.21</v>
      </c>
      <c r="E243" s="126">
        <v>3560.75</v>
      </c>
      <c r="F243" s="127">
        <v>3560.75</v>
      </c>
    </row>
    <row r="244" spans="1:6" x14ac:dyDescent="0.3">
      <c r="A244" s="129">
        <v>44914</v>
      </c>
      <c r="B244" s="125">
        <v>6.9500000000000006E-2</v>
      </c>
      <c r="C244" s="124">
        <v>7.0699999999999999E-2</v>
      </c>
      <c r="D244" s="126">
        <v>3570.69</v>
      </c>
      <c r="E244" s="126">
        <v>3562.51</v>
      </c>
      <c r="F244" s="127">
        <v>3562.51</v>
      </c>
    </row>
    <row r="245" spans="1:6" x14ac:dyDescent="0.3">
      <c r="A245" s="129">
        <v>44915</v>
      </c>
      <c r="B245" s="125">
        <v>6.9000000000000006E-2</v>
      </c>
      <c r="C245" s="124">
        <v>7.0199999999999999E-2</v>
      </c>
      <c r="D245" s="126">
        <v>3575.02</v>
      </c>
      <c r="E245" s="126">
        <v>3566.84</v>
      </c>
      <c r="F245" s="127">
        <v>3566.84</v>
      </c>
    </row>
    <row r="246" spans="1:6" x14ac:dyDescent="0.3">
      <c r="A246" s="129">
        <v>44916</v>
      </c>
      <c r="B246" s="125">
        <v>6.7099999999999993E-2</v>
      </c>
      <c r="C246" s="124">
        <v>6.83E-2</v>
      </c>
      <c r="D246" s="126">
        <v>3587.04</v>
      </c>
      <c r="E246" s="126">
        <v>3578.87</v>
      </c>
      <c r="F246" s="127">
        <v>3578.87</v>
      </c>
    </row>
    <row r="247" spans="1:6" x14ac:dyDescent="0.3">
      <c r="A247" s="129">
        <v>44917</v>
      </c>
      <c r="B247" s="125">
        <v>6.7799999999999999E-2</v>
      </c>
      <c r="C247" s="124">
        <v>6.9000000000000006E-2</v>
      </c>
      <c r="D247" s="126">
        <v>3584.75</v>
      </c>
      <c r="E247" s="126">
        <v>3576.6</v>
      </c>
      <c r="F247" s="127">
        <v>3576.6</v>
      </c>
    </row>
    <row r="248" spans="1:6" x14ac:dyDescent="0.3">
      <c r="A248" s="129">
        <v>44918</v>
      </c>
      <c r="B248" s="125">
        <v>6.7199999999999996E-2</v>
      </c>
      <c r="C248" s="124">
        <v>6.8400000000000002E-2</v>
      </c>
      <c r="D248" s="126">
        <v>3590.88</v>
      </c>
      <c r="E248" s="126">
        <v>3581.46</v>
      </c>
      <c r="F248" s="127">
        <v>3581.46</v>
      </c>
    </row>
    <row r="249" spans="1:6" x14ac:dyDescent="0.3">
      <c r="A249" s="129">
        <v>44921</v>
      </c>
      <c r="B249" s="125">
        <v>6.7400000000000002E-2</v>
      </c>
      <c r="C249" s="124">
        <v>6.8600000000000008E-2</v>
      </c>
      <c r="D249" s="126">
        <v>3589.69</v>
      </c>
      <c r="E249" s="126">
        <v>3581.69</v>
      </c>
      <c r="F249" s="127">
        <v>3581.69</v>
      </c>
    </row>
    <row r="250" spans="1:6" x14ac:dyDescent="0.3">
      <c r="A250" s="129">
        <v>44922</v>
      </c>
      <c r="B250" s="125">
        <v>6.7400000000000002E-2</v>
      </c>
      <c r="C250" s="124">
        <v>6.8600000000000008E-2</v>
      </c>
      <c r="D250" s="126">
        <v>3591.12</v>
      </c>
      <c r="E250" s="126">
        <v>3583.13</v>
      </c>
      <c r="F250" s="127">
        <v>3583.13</v>
      </c>
    </row>
    <row r="251" spans="1:6" x14ac:dyDescent="0.3">
      <c r="A251" s="129">
        <v>44923</v>
      </c>
      <c r="B251" s="125">
        <v>6.7400000000000002E-2</v>
      </c>
      <c r="C251" s="124">
        <v>6.8600000000000008E-2</v>
      </c>
      <c r="D251" s="126">
        <v>3592.54</v>
      </c>
      <c r="E251" s="126">
        <v>3584.57</v>
      </c>
      <c r="F251" s="127">
        <v>3584.57</v>
      </c>
    </row>
    <row r="252" spans="1:6" x14ac:dyDescent="0.3">
      <c r="A252" s="129">
        <v>44924</v>
      </c>
      <c r="B252" s="125">
        <v>6.5299999999999997E-2</v>
      </c>
      <c r="C252" s="124">
        <v>6.6500000000000004E-2</v>
      </c>
      <c r="D252" s="126">
        <v>3607.82</v>
      </c>
      <c r="E252" s="126">
        <v>3597.45</v>
      </c>
      <c r="F252" s="127">
        <v>3597.45</v>
      </c>
    </row>
  </sheetData>
  <mergeCells count="1">
    <mergeCell ref="B1:F1"/>
  </mergeCells>
  <pageMargins left="0.511811024" right="0.511811024" top="0.78740157499999996" bottom="0.78740157499999996" header="0.31496062000000002" footer="0.31496062000000002"/>
  <pageSetup paperSize="9" orientation="portrait" r:id="rId1"/>
  <headerFooter>
    <oddHeader>&amp;R&amp;"Calibri"&amp;10&amp;K000000#interna&amp;1#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filterMode="1">
    <tabColor theme="7" tint="0.79998168889431442"/>
  </sheetPr>
  <dimension ref="A1:D634"/>
  <sheetViews>
    <sheetView workbookViewId="0">
      <pane xSplit="2" ySplit="1" topLeftCell="C598" activePane="bottomRight" state="frozen"/>
      <selection activeCell="I497" sqref="I497"/>
      <selection pane="topRight" activeCell="I497" sqref="I497"/>
      <selection pane="bottomLeft" activeCell="I497" sqref="I497"/>
      <selection pane="bottomRight" activeCell="D374" sqref="D374:D623"/>
    </sheetView>
  </sheetViews>
  <sheetFormatPr defaultColWidth="9.109375" defaultRowHeight="14.4" x14ac:dyDescent="0.3"/>
  <cols>
    <col min="1" max="4" width="31.44140625" style="119" customWidth="1"/>
    <col min="5" max="5" width="10" style="119" customWidth="1"/>
    <col min="6" max="16384" width="9.109375" style="119"/>
  </cols>
  <sheetData>
    <row r="1" spans="1:4" x14ac:dyDescent="0.3">
      <c r="A1" s="96" t="s">
        <v>311</v>
      </c>
      <c r="B1" s="96" t="s">
        <v>0</v>
      </c>
      <c r="C1" s="96" t="s">
        <v>312</v>
      </c>
      <c r="D1" s="96" t="s">
        <v>313</v>
      </c>
    </row>
    <row r="2" spans="1:4" hidden="1" x14ac:dyDescent="0.3">
      <c r="A2" t="s">
        <v>314</v>
      </c>
      <c r="B2" s="83">
        <v>43874</v>
      </c>
      <c r="C2" s="68">
        <v>96174.63</v>
      </c>
      <c r="D2" s="68">
        <v>61.953155125000002</v>
      </c>
    </row>
    <row r="3" spans="1:4" hidden="1" x14ac:dyDescent="0.3">
      <c r="A3" t="s">
        <v>314</v>
      </c>
      <c r="B3" s="83">
        <v>43875</v>
      </c>
      <c r="C3" s="68">
        <v>96416.23</v>
      </c>
      <c r="D3" s="68">
        <v>313.11276090000001</v>
      </c>
    </row>
    <row r="4" spans="1:4" hidden="1" x14ac:dyDescent="0.3">
      <c r="A4" t="s">
        <v>314</v>
      </c>
      <c r="B4" s="83">
        <v>43878</v>
      </c>
      <c r="C4" s="68">
        <v>96421.85</v>
      </c>
      <c r="D4" s="68">
        <v>-1.6527402</v>
      </c>
    </row>
    <row r="5" spans="1:4" hidden="1" x14ac:dyDescent="0.3">
      <c r="A5" t="s">
        <v>314</v>
      </c>
      <c r="B5" s="83">
        <v>43879</v>
      </c>
      <c r="C5" s="68">
        <v>96427.47</v>
      </c>
      <c r="D5" s="68">
        <v>-3.3457233249999998</v>
      </c>
    </row>
    <row r="6" spans="1:4" hidden="1" x14ac:dyDescent="0.3">
      <c r="A6" t="s">
        <v>314</v>
      </c>
      <c r="B6" s="83">
        <v>43880</v>
      </c>
      <c r="C6" s="68">
        <v>96597.74</v>
      </c>
      <c r="D6" s="68">
        <v>216.36937437500001</v>
      </c>
    </row>
    <row r="7" spans="1:4" hidden="1" x14ac:dyDescent="0.3">
      <c r="A7" t="s">
        <v>314</v>
      </c>
      <c r="B7" s="83">
        <v>43881</v>
      </c>
      <c r="C7" s="68">
        <v>96626.62</v>
      </c>
      <c r="D7" s="68">
        <v>27.636510449999999</v>
      </c>
    </row>
    <row r="8" spans="1:4" hidden="1" x14ac:dyDescent="0.3">
      <c r="A8" t="s">
        <v>314</v>
      </c>
      <c r="B8" s="83">
        <v>43882</v>
      </c>
      <c r="C8" s="68">
        <v>96608.47</v>
      </c>
      <c r="D8" s="68">
        <v>-31.9318165</v>
      </c>
    </row>
    <row r="9" spans="1:4" hidden="1" x14ac:dyDescent="0.3">
      <c r="A9" t="s">
        <v>314</v>
      </c>
      <c r="B9" s="83">
        <v>43887</v>
      </c>
      <c r="C9" s="68">
        <v>96403.21</v>
      </c>
      <c r="D9" s="68">
        <v>-283.82965259999997</v>
      </c>
    </row>
    <row r="10" spans="1:4" hidden="1" x14ac:dyDescent="0.3">
      <c r="A10" t="s">
        <v>314</v>
      </c>
      <c r="B10" s="83">
        <v>43888</v>
      </c>
      <c r="C10" s="68">
        <v>96525.66</v>
      </c>
      <c r="D10" s="68">
        <v>153.15477200000001</v>
      </c>
    </row>
    <row r="11" spans="1:4" hidden="1" x14ac:dyDescent="0.3">
      <c r="A11" t="s">
        <v>314</v>
      </c>
      <c r="B11" s="83">
        <v>43889</v>
      </c>
      <c r="C11" s="68">
        <v>96624.58</v>
      </c>
      <c r="D11" s="68">
        <v>122.02737375</v>
      </c>
    </row>
    <row r="12" spans="1:4" hidden="1" x14ac:dyDescent="0.3">
      <c r="A12" t="s">
        <v>314</v>
      </c>
      <c r="B12" s="83">
        <v>43892</v>
      </c>
      <c r="C12" s="68">
        <v>96980.79</v>
      </c>
      <c r="D12" s="68">
        <v>464.94263549999999</v>
      </c>
    </row>
    <row r="13" spans="1:4" hidden="1" x14ac:dyDescent="0.3">
      <c r="A13" t="s">
        <v>314</v>
      </c>
      <c r="B13" s="83">
        <v>43893</v>
      </c>
      <c r="C13" s="68">
        <v>97243.63</v>
      </c>
      <c r="D13" s="68">
        <v>340.63988990000001</v>
      </c>
    </row>
    <row r="14" spans="1:4" hidden="1" x14ac:dyDescent="0.3">
      <c r="A14" t="s">
        <v>314</v>
      </c>
      <c r="B14" s="83">
        <v>43894</v>
      </c>
      <c r="C14" s="68">
        <v>97341.96</v>
      </c>
      <c r="D14" s="68">
        <v>120.95060655</v>
      </c>
    </row>
    <row r="15" spans="1:4" hidden="1" x14ac:dyDescent="0.3">
      <c r="A15" t="s">
        <v>314</v>
      </c>
      <c r="B15" s="83">
        <v>43895</v>
      </c>
      <c r="C15" s="68">
        <v>97135.42</v>
      </c>
      <c r="D15" s="68">
        <v>-285.53260732500001</v>
      </c>
    </row>
    <row r="16" spans="1:4" hidden="1" x14ac:dyDescent="0.3">
      <c r="A16" t="s">
        <v>314</v>
      </c>
      <c r="B16" s="83">
        <v>43896</v>
      </c>
      <c r="C16" s="68">
        <v>97023.37</v>
      </c>
      <c r="D16" s="68">
        <v>-159.70224375000001</v>
      </c>
    </row>
    <row r="17" spans="1:4" hidden="1" x14ac:dyDescent="0.3">
      <c r="A17" t="s">
        <v>314</v>
      </c>
      <c r="B17" s="83">
        <v>43899</v>
      </c>
      <c r="C17" s="68">
        <v>96471.86</v>
      </c>
      <c r="D17" s="68">
        <v>-746.08579010000005</v>
      </c>
    </row>
    <row r="18" spans="1:4" hidden="1" x14ac:dyDescent="0.3">
      <c r="A18" t="s">
        <v>314</v>
      </c>
      <c r="B18" s="83">
        <v>43900</v>
      </c>
      <c r="C18" s="68">
        <v>96731.53</v>
      </c>
      <c r="D18" s="68">
        <v>336.60492249999999</v>
      </c>
    </row>
    <row r="19" spans="1:4" hidden="1" x14ac:dyDescent="0.3">
      <c r="A19" t="s">
        <v>314</v>
      </c>
      <c r="B19" s="83">
        <v>43901</v>
      </c>
      <c r="C19" s="68">
        <v>95910.3</v>
      </c>
      <c r="D19" s="68">
        <v>-998.83483920000003</v>
      </c>
    </row>
    <row r="20" spans="1:4" hidden="1" x14ac:dyDescent="0.3">
      <c r="A20" t="s">
        <v>314</v>
      </c>
      <c r="B20" s="83">
        <v>43902</v>
      </c>
      <c r="C20" s="68">
        <v>93237</v>
      </c>
      <c r="D20" s="68">
        <v>-3573.7125577500001</v>
      </c>
    </row>
    <row r="21" spans="1:4" hidden="1" x14ac:dyDescent="0.3">
      <c r="A21" t="s">
        <v>314</v>
      </c>
      <c r="B21" s="83">
        <v>43903</v>
      </c>
      <c r="C21" s="68">
        <v>94929.88</v>
      </c>
      <c r="D21" s="68">
        <v>2258.846226875</v>
      </c>
    </row>
    <row r="22" spans="1:4" hidden="1" x14ac:dyDescent="0.3">
      <c r="A22" t="s">
        <v>314</v>
      </c>
      <c r="B22" s="83">
        <v>43906</v>
      </c>
      <c r="C22" s="68">
        <v>95387.1</v>
      </c>
      <c r="D22" s="68">
        <v>608.04548375000002</v>
      </c>
    </row>
    <row r="23" spans="1:4" hidden="1" x14ac:dyDescent="0.3">
      <c r="A23" t="s">
        <v>314</v>
      </c>
      <c r="B23" s="83">
        <v>43907</v>
      </c>
      <c r="C23" s="68">
        <v>95597.28</v>
      </c>
      <c r="D23" s="68">
        <v>266.970885925</v>
      </c>
    </row>
    <row r="24" spans="1:4" hidden="1" x14ac:dyDescent="0.3">
      <c r="A24" t="s">
        <v>314</v>
      </c>
      <c r="B24" s="83">
        <v>43908</v>
      </c>
      <c r="C24" s="68">
        <v>93804.09</v>
      </c>
      <c r="D24" s="68">
        <v>-2410.2002790000001</v>
      </c>
    </row>
    <row r="25" spans="1:4" hidden="1" x14ac:dyDescent="0.3">
      <c r="A25" t="s">
        <v>314</v>
      </c>
      <c r="B25" s="83">
        <v>43909</v>
      </c>
      <c r="C25" s="68">
        <v>93160.41</v>
      </c>
      <c r="D25" s="68">
        <v>-873.87032524999995</v>
      </c>
    </row>
    <row r="26" spans="1:4" hidden="1" x14ac:dyDescent="0.3">
      <c r="A26" t="s">
        <v>314</v>
      </c>
      <c r="B26" s="83">
        <v>43910</v>
      </c>
      <c r="C26" s="68">
        <v>92804.4</v>
      </c>
      <c r="D26" s="68">
        <v>-486.98202765000002</v>
      </c>
    </row>
    <row r="27" spans="1:4" hidden="1" x14ac:dyDescent="0.3">
      <c r="A27" t="s">
        <v>314</v>
      </c>
      <c r="B27" s="83">
        <v>43913</v>
      </c>
      <c r="C27" s="68">
        <v>91771.23</v>
      </c>
      <c r="D27" s="68">
        <v>-1392.00380625</v>
      </c>
    </row>
    <row r="28" spans="1:4" hidden="1" x14ac:dyDescent="0.3">
      <c r="A28" t="s">
        <v>314</v>
      </c>
      <c r="B28" s="83">
        <v>43914</v>
      </c>
      <c r="C28" s="68">
        <v>92442.28</v>
      </c>
      <c r="D28" s="68">
        <v>885.91681707500004</v>
      </c>
    </row>
    <row r="29" spans="1:4" hidden="1" x14ac:dyDescent="0.3">
      <c r="A29" t="s">
        <v>314</v>
      </c>
      <c r="B29" s="83">
        <v>43915</v>
      </c>
      <c r="C29" s="68">
        <v>93032</v>
      </c>
      <c r="D29" s="68">
        <v>777.17103205000001</v>
      </c>
    </row>
    <row r="30" spans="1:4" hidden="1" x14ac:dyDescent="0.3">
      <c r="A30" t="s">
        <v>314</v>
      </c>
      <c r="B30" s="83">
        <v>43916</v>
      </c>
      <c r="C30" s="68">
        <v>93473.72</v>
      </c>
      <c r="D30" s="68">
        <v>579.30626407499994</v>
      </c>
    </row>
    <row r="31" spans="1:4" hidden="1" x14ac:dyDescent="0.3">
      <c r="A31" t="s">
        <v>314</v>
      </c>
      <c r="B31" s="83">
        <v>43917</v>
      </c>
      <c r="C31" s="68">
        <v>93678.6</v>
      </c>
      <c r="D31" s="68">
        <v>262.67127057499999</v>
      </c>
    </row>
    <row r="32" spans="1:4" hidden="1" x14ac:dyDescent="0.3">
      <c r="A32" t="s">
        <v>314</v>
      </c>
      <c r="B32" s="83">
        <v>43920</v>
      </c>
      <c r="C32" s="68">
        <v>94230.87</v>
      </c>
      <c r="D32" s="68">
        <v>727.07963574999997</v>
      </c>
    </row>
    <row r="33" spans="1:4" hidden="1" x14ac:dyDescent="0.3">
      <c r="A33" t="s">
        <v>314</v>
      </c>
      <c r="B33" s="83">
        <v>43921</v>
      </c>
      <c r="C33" s="68">
        <v>94632.67</v>
      </c>
      <c r="D33" s="68">
        <v>525.87886304999995</v>
      </c>
    </row>
    <row r="34" spans="1:4" hidden="1" x14ac:dyDescent="0.3">
      <c r="A34" t="s">
        <v>314</v>
      </c>
      <c r="B34" s="83">
        <v>43922</v>
      </c>
      <c r="C34" s="68">
        <v>94706.95</v>
      </c>
      <c r="D34" s="68">
        <v>87.949668950000003</v>
      </c>
    </row>
    <row r="35" spans="1:4" hidden="1" x14ac:dyDescent="0.3">
      <c r="A35" t="s">
        <v>314</v>
      </c>
      <c r="B35" s="83">
        <v>43923</v>
      </c>
      <c r="C35" s="68">
        <v>95131.44</v>
      </c>
      <c r="D35" s="68">
        <v>556.21918902499999</v>
      </c>
    </row>
    <row r="36" spans="1:4" hidden="1" x14ac:dyDescent="0.3">
      <c r="A36" t="s">
        <v>314</v>
      </c>
      <c r="B36" s="83">
        <v>43924</v>
      </c>
      <c r="C36" s="68">
        <v>95183.28</v>
      </c>
      <c r="D36" s="68">
        <v>57.899352749999998</v>
      </c>
    </row>
    <row r="37" spans="1:4" hidden="1" x14ac:dyDescent="0.3">
      <c r="A37" t="s">
        <v>314</v>
      </c>
      <c r="B37" s="83">
        <v>43927</v>
      </c>
      <c r="C37" s="68">
        <v>95103.67</v>
      </c>
      <c r="D37" s="68">
        <v>-117.89085799999999</v>
      </c>
    </row>
    <row r="38" spans="1:4" hidden="1" x14ac:dyDescent="0.3">
      <c r="A38" t="s">
        <v>314</v>
      </c>
      <c r="B38" s="83">
        <v>43928</v>
      </c>
      <c r="C38" s="68">
        <v>95199.13</v>
      </c>
      <c r="D38" s="68">
        <v>116.2387679</v>
      </c>
    </row>
    <row r="39" spans="1:4" hidden="1" x14ac:dyDescent="0.3">
      <c r="A39" t="s">
        <v>314</v>
      </c>
      <c r="B39" s="83">
        <v>43929</v>
      </c>
      <c r="C39" s="68">
        <v>95381.91</v>
      </c>
      <c r="D39" s="68">
        <v>233.011281825</v>
      </c>
    </row>
    <row r="40" spans="1:4" hidden="1" x14ac:dyDescent="0.3">
      <c r="A40" t="s">
        <v>314</v>
      </c>
      <c r="B40" s="83">
        <v>43930</v>
      </c>
      <c r="C40" s="68">
        <v>95608.41</v>
      </c>
      <c r="D40" s="68">
        <v>247.815647275</v>
      </c>
    </row>
    <row r="41" spans="1:4" hidden="1" x14ac:dyDescent="0.3">
      <c r="A41" t="s">
        <v>314</v>
      </c>
      <c r="B41" s="83">
        <v>43934</v>
      </c>
      <c r="C41" s="68">
        <v>95812.96</v>
      </c>
      <c r="D41" s="68">
        <v>259.370934675</v>
      </c>
    </row>
    <row r="42" spans="1:4" hidden="1" x14ac:dyDescent="0.3">
      <c r="A42" t="s">
        <v>314</v>
      </c>
      <c r="B42" s="83">
        <v>43935</v>
      </c>
      <c r="C42" s="68">
        <v>96039.43</v>
      </c>
      <c r="D42" s="68">
        <v>288.90233542499999</v>
      </c>
    </row>
    <row r="43" spans="1:4" hidden="1" x14ac:dyDescent="0.3">
      <c r="A43" t="s">
        <v>314</v>
      </c>
      <c r="B43" s="83">
        <v>43936</v>
      </c>
      <c r="C43" s="68">
        <v>96068</v>
      </c>
      <c r="D43" s="68">
        <v>24.268773374999999</v>
      </c>
    </row>
    <row r="44" spans="1:4" hidden="1" x14ac:dyDescent="0.3">
      <c r="A44" t="s">
        <v>314</v>
      </c>
      <c r="B44" s="83">
        <v>43937</v>
      </c>
      <c r="C44" s="68">
        <v>96030.75</v>
      </c>
      <c r="D44" s="68">
        <v>-70.718954550000007</v>
      </c>
    </row>
    <row r="45" spans="1:4" hidden="1" x14ac:dyDescent="0.3">
      <c r="A45" t="s">
        <v>314</v>
      </c>
      <c r="B45" s="83">
        <v>43938</v>
      </c>
      <c r="C45" s="68">
        <v>96081.15</v>
      </c>
      <c r="D45" s="68">
        <v>46.730596499999997</v>
      </c>
    </row>
    <row r="46" spans="1:4" hidden="1" x14ac:dyDescent="0.3">
      <c r="A46" t="s">
        <v>314</v>
      </c>
      <c r="B46" s="83">
        <v>43941</v>
      </c>
      <c r="C46" s="68">
        <v>96438.24</v>
      </c>
      <c r="D46" s="68">
        <v>456.53316162499999</v>
      </c>
    </row>
    <row r="47" spans="1:4" hidden="1" x14ac:dyDescent="0.3">
      <c r="A47" t="s">
        <v>314</v>
      </c>
      <c r="B47" s="83">
        <v>43943</v>
      </c>
      <c r="C47" s="68">
        <v>96751.92</v>
      </c>
      <c r="D47" s="68">
        <v>398.40372969999999</v>
      </c>
    </row>
    <row r="48" spans="1:4" hidden="1" x14ac:dyDescent="0.3">
      <c r="A48" t="s">
        <v>314</v>
      </c>
      <c r="B48" s="83">
        <v>43944</v>
      </c>
      <c r="C48" s="68">
        <v>96275.33</v>
      </c>
      <c r="D48" s="68">
        <v>-658.01299840000001</v>
      </c>
    </row>
    <row r="49" spans="1:4" hidden="1" x14ac:dyDescent="0.3">
      <c r="A49" t="s">
        <v>314</v>
      </c>
      <c r="B49" s="83">
        <v>43945</v>
      </c>
      <c r="C49" s="68">
        <v>95050.54</v>
      </c>
      <c r="D49" s="68">
        <v>-1658.44850275</v>
      </c>
    </row>
    <row r="50" spans="1:4" hidden="1" x14ac:dyDescent="0.3">
      <c r="A50" t="s">
        <v>314</v>
      </c>
      <c r="B50" s="83">
        <v>43948</v>
      </c>
      <c r="C50" s="68">
        <v>94484.52</v>
      </c>
      <c r="D50" s="68">
        <v>-777.41433314999995</v>
      </c>
    </row>
    <row r="51" spans="1:4" hidden="1" x14ac:dyDescent="0.3">
      <c r="A51" t="s">
        <v>314</v>
      </c>
      <c r="B51" s="83">
        <v>43949</v>
      </c>
      <c r="C51" s="68">
        <v>94981.91</v>
      </c>
      <c r="D51" s="68">
        <v>644.402784075</v>
      </c>
    </row>
    <row r="52" spans="1:4" hidden="1" x14ac:dyDescent="0.3">
      <c r="A52" t="s">
        <v>314</v>
      </c>
      <c r="B52" s="83">
        <v>43950</v>
      </c>
      <c r="C52" s="68">
        <v>95032.92</v>
      </c>
      <c r="D52" s="68">
        <v>-49.678553700000002</v>
      </c>
    </row>
    <row r="53" spans="1:4" hidden="1" x14ac:dyDescent="0.3">
      <c r="A53" t="s">
        <v>314</v>
      </c>
      <c r="B53" s="83">
        <v>43951</v>
      </c>
      <c r="C53" s="68">
        <v>95211.5</v>
      </c>
      <c r="D53" s="68">
        <v>207.16978424999999</v>
      </c>
    </row>
    <row r="54" spans="1:4" hidden="1" x14ac:dyDescent="0.3">
      <c r="A54" t="s">
        <v>314</v>
      </c>
      <c r="B54" s="83">
        <v>43955</v>
      </c>
      <c r="C54" s="68">
        <v>95368.63</v>
      </c>
      <c r="D54" s="68">
        <v>178.433154</v>
      </c>
    </row>
    <row r="55" spans="1:4" hidden="1" x14ac:dyDescent="0.3">
      <c r="A55" t="s">
        <v>314</v>
      </c>
      <c r="B55" s="83">
        <v>43956</v>
      </c>
      <c r="C55" s="68">
        <v>95376.5</v>
      </c>
      <c r="D55" s="68">
        <v>-20.966368750000001</v>
      </c>
    </row>
    <row r="56" spans="1:4" hidden="1" x14ac:dyDescent="0.3">
      <c r="A56" t="s">
        <v>314</v>
      </c>
      <c r="B56" s="83">
        <v>43957</v>
      </c>
      <c r="C56" s="68">
        <v>95469.39</v>
      </c>
      <c r="D56" s="68">
        <v>92.562822699999998</v>
      </c>
    </row>
    <row r="57" spans="1:4" hidden="1" x14ac:dyDescent="0.3">
      <c r="A57" t="s">
        <v>314</v>
      </c>
      <c r="B57" s="83">
        <v>43958</v>
      </c>
      <c r="C57" s="68">
        <v>95604.64</v>
      </c>
      <c r="D57" s="68">
        <v>149.08368644999999</v>
      </c>
    </row>
    <row r="58" spans="1:4" hidden="1" x14ac:dyDescent="0.3">
      <c r="A58" t="s">
        <v>314</v>
      </c>
      <c r="B58" s="83">
        <v>43959</v>
      </c>
      <c r="C58" s="68">
        <v>95952.86</v>
      </c>
      <c r="D58" s="68">
        <v>340.84267964999998</v>
      </c>
    </row>
    <row r="59" spans="1:4" hidden="1" x14ac:dyDescent="0.3">
      <c r="A59" t="s">
        <v>314</v>
      </c>
      <c r="B59" s="83">
        <v>43962</v>
      </c>
      <c r="C59" s="68">
        <v>96151.9</v>
      </c>
      <c r="D59" s="68">
        <v>231.05504015</v>
      </c>
    </row>
    <row r="60" spans="1:4" hidden="1" x14ac:dyDescent="0.3">
      <c r="A60" t="s">
        <v>314</v>
      </c>
      <c r="B60" s="83">
        <v>43963</v>
      </c>
      <c r="C60" s="68">
        <v>95945.47</v>
      </c>
      <c r="D60" s="68">
        <v>-309.78136327499999</v>
      </c>
    </row>
    <row r="61" spans="1:4" hidden="1" x14ac:dyDescent="0.3">
      <c r="A61" t="s">
        <v>314</v>
      </c>
      <c r="B61" s="83">
        <v>43964</v>
      </c>
      <c r="C61" s="68">
        <v>95740.45</v>
      </c>
      <c r="D61" s="68">
        <v>-307.56031404999999</v>
      </c>
    </row>
    <row r="62" spans="1:4" hidden="1" x14ac:dyDescent="0.3">
      <c r="A62" t="s">
        <v>314</v>
      </c>
      <c r="B62" s="83">
        <v>43965</v>
      </c>
      <c r="C62" s="68">
        <v>96023.06</v>
      </c>
      <c r="D62" s="68">
        <v>342.42856725000001</v>
      </c>
    </row>
    <row r="63" spans="1:4" hidden="1" x14ac:dyDescent="0.3">
      <c r="A63" t="s">
        <v>314</v>
      </c>
      <c r="B63" s="83">
        <v>43966</v>
      </c>
      <c r="C63" s="68">
        <v>96263.360000000001</v>
      </c>
      <c r="D63" s="68">
        <v>285.87035465000002</v>
      </c>
    </row>
    <row r="64" spans="1:4" hidden="1" x14ac:dyDescent="0.3">
      <c r="A64" t="s">
        <v>314</v>
      </c>
      <c r="B64" s="83">
        <v>43969</v>
      </c>
      <c r="C64" s="68">
        <v>96503.679999999993</v>
      </c>
      <c r="D64" s="68">
        <v>281.91237690000003</v>
      </c>
    </row>
    <row r="65" spans="1:4" hidden="1" x14ac:dyDescent="0.3">
      <c r="A65" t="s">
        <v>314</v>
      </c>
      <c r="B65" s="83">
        <v>43970</v>
      </c>
      <c r="C65" s="68">
        <v>96616.14</v>
      </c>
      <c r="D65" s="68">
        <v>111.38221217500001</v>
      </c>
    </row>
    <row r="66" spans="1:4" hidden="1" x14ac:dyDescent="0.3">
      <c r="A66" t="s">
        <v>314</v>
      </c>
      <c r="B66" s="83">
        <v>43971</v>
      </c>
      <c r="C66" s="68">
        <v>96792.31</v>
      </c>
      <c r="D66" s="68">
        <v>196.438419375</v>
      </c>
    </row>
    <row r="67" spans="1:4" hidden="1" x14ac:dyDescent="0.3">
      <c r="A67" t="s">
        <v>314</v>
      </c>
      <c r="B67" s="83">
        <v>43972</v>
      </c>
      <c r="C67" s="68">
        <v>96989.66</v>
      </c>
      <c r="D67" s="68">
        <v>224.29379610000001</v>
      </c>
    </row>
    <row r="68" spans="1:4" hidden="1" x14ac:dyDescent="0.3">
      <c r="A68" t="s">
        <v>314</v>
      </c>
      <c r="B68" s="83">
        <v>43973</v>
      </c>
      <c r="C68" s="68">
        <v>96973.64</v>
      </c>
      <c r="D68" s="68">
        <v>-59.994999624999998</v>
      </c>
    </row>
    <row r="69" spans="1:4" hidden="1" x14ac:dyDescent="0.3">
      <c r="A69" t="s">
        <v>314</v>
      </c>
      <c r="B69" s="83">
        <v>43976</v>
      </c>
      <c r="C69" s="68">
        <v>97362.65</v>
      </c>
      <c r="D69" s="68">
        <v>479.32488504999998</v>
      </c>
    </row>
    <row r="70" spans="1:4" hidden="1" x14ac:dyDescent="0.3">
      <c r="A70" t="s">
        <v>314</v>
      </c>
      <c r="B70" s="83">
        <v>43977</v>
      </c>
      <c r="C70" s="68">
        <v>97324.63</v>
      </c>
      <c r="D70" s="68">
        <v>-89.180437499999996</v>
      </c>
    </row>
    <row r="71" spans="1:4" hidden="1" x14ac:dyDescent="0.3">
      <c r="A71" t="s">
        <v>314</v>
      </c>
      <c r="B71" s="83">
        <v>43978</v>
      </c>
      <c r="C71" s="68">
        <v>97478.55</v>
      </c>
      <c r="D71" s="68">
        <v>124.44873375</v>
      </c>
    </row>
    <row r="72" spans="1:4" hidden="1" x14ac:dyDescent="0.3">
      <c r="A72" t="s">
        <v>314</v>
      </c>
      <c r="B72" s="83">
        <v>43979</v>
      </c>
      <c r="C72" s="68">
        <v>97632.27</v>
      </c>
      <c r="D72" s="68">
        <v>160.537587</v>
      </c>
    </row>
    <row r="73" spans="1:4" hidden="1" x14ac:dyDescent="0.3">
      <c r="A73" t="s">
        <v>314</v>
      </c>
      <c r="B73" s="83">
        <v>43980</v>
      </c>
      <c r="C73" s="68">
        <v>97743.1</v>
      </c>
      <c r="D73" s="68">
        <v>103.37895675</v>
      </c>
    </row>
    <row r="74" spans="1:4" hidden="1" x14ac:dyDescent="0.3">
      <c r="A74" t="s">
        <v>314</v>
      </c>
      <c r="B74" s="83">
        <v>43983</v>
      </c>
      <c r="C74" s="68">
        <v>97768.43</v>
      </c>
      <c r="D74" s="68">
        <v>-10.371465000000001</v>
      </c>
    </row>
    <row r="75" spans="1:4" hidden="1" x14ac:dyDescent="0.3">
      <c r="A75" t="s">
        <v>314</v>
      </c>
      <c r="B75" s="83">
        <v>43984</v>
      </c>
      <c r="C75" s="68">
        <v>97921.49</v>
      </c>
      <c r="D75" s="68">
        <v>159.40535625000001</v>
      </c>
    </row>
    <row r="76" spans="1:4" hidden="1" x14ac:dyDescent="0.3">
      <c r="A76" t="s">
        <v>314</v>
      </c>
      <c r="B76" s="83">
        <v>43985</v>
      </c>
      <c r="C76" s="68">
        <v>98053.04</v>
      </c>
      <c r="D76" s="68">
        <v>130.7012355</v>
      </c>
    </row>
    <row r="77" spans="1:4" hidden="1" x14ac:dyDescent="0.3">
      <c r="A77" t="s">
        <v>314</v>
      </c>
      <c r="B77" s="83">
        <v>43986</v>
      </c>
      <c r="C77" s="68">
        <v>98120.42</v>
      </c>
      <c r="D77" s="68">
        <v>45.337803000000001</v>
      </c>
    </row>
    <row r="78" spans="1:4" hidden="1" x14ac:dyDescent="0.3">
      <c r="A78" t="s">
        <v>314</v>
      </c>
      <c r="B78" s="83">
        <v>43987</v>
      </c>
      <c r="C78" s="68">
        <v>98315.49</v>
      </c>
      <c r="D78" s="68">
        <v>214.93397024999999</v>
      </c>
    </row>
    <row r="79" spans="1:4" hidden="1" x14ac:dyDescent="0.3">
      <c r="A79" t="s">
        <v>314</v>
      </c>
      <c r="B79" s="83">
        <v>43990</v>
      </c>
      <c r="C79" s="68">
        <v>98254.67</v>
      </c>
      <c r="D79" s="68">
        <v>-124.83540322499999</v>
      </c>
    </row>
    <row r="80" spans="1:4" hidden="1" x14ac:dyDescent="0.3">
      <c r="A80" t="s">
        <v>314</v>
      </c>
      <c r="B80" s="83">
        <v>43991</v>
      </c>
      <c r="C80" s="68">
        <v>98088.16</v>
      </c>
      <c r="D80" s="68">
        <v>-265.37631837499998</v>
      </c>
    </row>
    <row r="81" spans="1:4" hidden="1" x14ac:dyDescent="0.3">
      <c r="A81" t="s">
        <v>314</v>
      </c>
      <c r="B81" s="83">
        <v>43992</v>
      </c>
      <c r="C81" s="68">
        <v>98133.91</v>
      </c>
      <c r="D81" s="68">
        <v>98.904523749999996</v>
      </c>
    </row>
    <row r="82" spans="1:4" hidden="1" x14ac:dyDescent="0.3">
      <c r="A82" t="s">
        <v>314</v>
      </c>
      <c r="B82" s="83">
        <v>43994</v>
      </c>
      <c r="C82" s="68">
        <v>98137.279999999999</v>
      </c>
      <c r="D82" s="68">
        <v>-35.076837650000002</v>
      </c>
    </row>
    <row r="83" spans="1:4" hidden="1" x14ac:dyDescent="0.3">
      <c r="A83" t="s">
        <v>314</v>
      </c>
      <c r="B83" s="83">
        <v>43997</v>
      </c>
      <c r="C83" s="68">
        <v>98182.83</v>
      </c>
      <c r="D83" s="68">
        <v>20.927900999999999</v>
      </c>
    </row>
    <row r="84" spans="1:4" hidden="1" x14ac:dyDescent="0.3">
      <c r="A84" t="s">
        <v>314</v>
      </c>
      <c r="B84" s="83">
        <v>43998</v>
      </c>
      <c r="C84" s="68">
        <v>98122.99</v>
      </c>
      <c r="D84" s="68">
        <v>-81.249793100000005</v>
      </c>
    </row>
    <row r="85" spans="1:4" hidden="1" x14ac:dyDescent="0.3">
      <c r="A85" t="s">
        <v>314</v>
      </c>
      <c r="B85" s="83">
        <v>43999</v>
      </c>
      <c r="C85" s="68">
        <v>98189.43</v>
      </c>
      <c r="D85" s="68">
        <v>86.477637025000007</v>
      </c>
    </row>
    <row r="86" spans="1:4" hidden="1" x14ac:dyDescent="0.3">
      <c r="A86" t="s">
        <v>314</v>
      </c>
      <c r="B86" s="83">
        <v>44000</v>
      </c>
      <c r="C86" s="68">
        <v>98192.72</v>
      </c>
      <c r="D86" s="68">
        <v>2.5902045</v>
      </c>
    </row>
    <row r="87" spans="1:4" hidden="1" x14ac:dyDescent="0.3">
      <c r="A87" t="s">
        <v>314</v>
      </c>
      <c r="B87" s="83">
        <v>44001</v>
      </c>
      <c r="C87" s="68">
        <v>98447.8</v>
      </c>
      <c r="D87" s="68">
        <v>340.85177664999998</v>
      </c>
    </row>
    <row r="88" spans="1:4" hidden="1" x14ac:dyDescent="0.3">
      <c r="A88" t="s">
        <v>314</v>
      </c>
      <c r="B88" s="83">
        <v>44004</v>
      </c>
      <c r="C88" s="68">
        <v>98471.62</v>
      </c>
      <c r="D88" s="68">
        <v>33.652804750000001</v>
      </c>
    </row>
    <row r="89" spans="1:4" hidden="1" x14ac:dyDescent="0.3">
      <c r="A89" t="s">
        <v>314</v>
      </c>
      <c r="B89" s="83">
        <v>44005</v>
      </c>
      <c r="C89" s="68">
        <v>98537.31</v>
      </c>
      <c r="D89" s="68">
        <v>89.289143999999993</v>
      </c>
    </row>
    <row r="90" spans="1:4" hidden="1" x14ac:dyDescent="0.3">
      <c r="A90" t="s">
        <v>314</v>
      </c>
      <c r="B90" s="83">
        <v>44006</v>
      </c>
      <c r="C90" s="68">
        <v>98498.15</v>
      </c>
      <c r="D90" s="68">
        <v>-49.791728474999999</v>
      </c>
    </row>
    <row r="91" spans="1:4" hidden="1" x14ac:dyDescent="0.3">
      <c r="A91" t="s">
        <v>314</v>
      </c>
      <c r="B91" s="83">
        <v>44007</v>
      </c>
      <c r="C91" s="68">
        <v>98793.88</v>
      </c>
      <c r="D91" s="68">
        <v>395.02452899999997</v>
      </c>
    </row>
    <row r="92" spans="1:4" hidden="1" x14ac:dyDescent="0.3">
      <c r="A92" t="s">
        <v>314</v>
      </c>
      <c r="B92" s="83">
        <v>44008</v>
      </c>
      <c r="C92" s="68">
        <v>98796.11</v>
      </c>
      <c r="D92" s="68">
        <v>31.646049574999999</v>
      </c>
    </row>
    <row r="93" spans="1:4" hidden="1" x14ac:dyDescent="0.3">
      <c r="A93" t="s">
        <v>314</v>
      </c>
      <c r="B93" s="83">
        <v>44011</v>
      </c>
      <c r="C93" s="68">
        <v>98923.83</v>
      </c>
      <c r="D93" s="68">
        <v>174.768033</v>
      </c>
    </row>
    <row r="94" spans="1:4" hidden="1" x14ac:dyDescent="0.3">
      <c r="A94" t="s">
        <v>314</v>
      </c>
      <c r="B94" s="83">
        <v>44012</v>
      </c>
      <c r="C94" s="68">
        <v>98946.72</v>
      </c>
      <c r="D94" s="68">
        <v>35.662688099999997</v>
      </c>
    </row>
    <row r="95" spans="1:4" hidden="1" x14ac:dyDescent="0.3">
      <c r="A95" t="s">
        <v>314</v>
      </c>
      <c r="B95" s="83">
        <v>44013</v>
      </c>
      <c r="C95" s="68">
        <v>99053.08</v>
      </c>
      <c r="D95" s="68">
        <v>146.41841174999999</v>
      </c>
    </row>
    <row r="96" spans="1:4" hidden="1" x14ac:dyDescent="0.3">
      <c r="A96" t="s">
        <v>314</v>
      </c>
      <c r="B96" s="83">
        <v>44014</v>
      </c>
      <c r="C96" s="68">
        <v>99180.1</v>
      </c>
      <c r="D96" s="68">
        <v>173.9014225</v>
      </c>
    </row>
    <row r="97" spans="1:4" hidden="1" x14ac:dyDescent="0.3">
      <c r="A97" t="s">
        <v>314</v>
      </c>
      <c r="B97" s="83">
        <v>44015</v>
      </c>
      <c r="C97" s="68">
        <v>99369.61</v>
      </c>
      <c r="D97" s="68">
        <v>257.059700625</v>
      </c>
    </row>
    <row r="98" spans="1:4" hidden="1" x14ac:dyDescent="0.3">
      <c r="A98" t="s">
        <v>314</v>
      </c>
      <c r="B98" s="83">
        <v>44018</v>
      </c>
      <c r="C98" s="68">
        <v>99370.79</v>
      </c>
      <c r="D98" s="68">
        <v>6.5586501500000001</v>
      </c>
    </row>
    <row r="99" spans="1:4" hidden="1" x14ac:dyDescent="0.3">
      <c r="A99" t="s">
        <v>314</v>
      </c>
      <c r="B99" s="83">
        <v>44019</v>
      </c>
      <c r="C99" s="68">
        <v>99288.68</v>
      </c>
      <c r="D99" s="68">
        <v>-104.00674840000001</v>
      </c>
    </row>
    <row r="100" spans="1:4" hidden="1" x14ac:dyDescent="0.3">
      <c r="A100" t="s">
        <v>314</v>
      </c>
      <c r="B100" s="83">
        <v>44020</v>
      </c>
      <c r="C100" s="68">
        <v>99144.76</v>
      </c>
      <c r="D100" s="68">
        <v>-186.53507285000001</v>
      </c>
    </row>
    <row r="101" spans="1:4" hidden="1" x14ac:dyDescent="0.3">
      <c r="A101" t="s">
        <v>314</v>
      </c>
      <c r="B101" s="83">
        <v>44021</v>
      </c>
      <c r="C101" s="68">
        <v>99229.18</v>
      </c>
      <c r="D101" s="68">
        <v>117.32729519999999</v>
      </c>
    </row>
    <row r="102" spans="1:4" hidden="1" x14ac:dyDescent="0.3">
      <c r="A102" t="s">
        <v>314</v>
      </c>
      <c r="B102" s="83">
        <v>44022</v>
      </c>
      <c r="C102" s="68">
        <v>99416.97</v>
      </c>
      <c r="D102" s="68">
        <v>243.52113220000001</v>
      </c>
    </row>
    <row r="103" spans="1:4" hidden="1" x14ac:dyDescent="0.3">
      <c r="A103" t="s">
        <v>314</v>
      </c>
      <c r="B103" s="83">
        <v>44025</v>
      </c>
      <c r="C103" s="68">
        <v>99418.07</v>
      </c>
      <c r="D103" s="68">
        <v>5.9497935000000002</v>
      </c>
    </row>
    <row r="104" spans="1:4" hidden="1" x14ac:dyDescent="0.3">
      <c r="A104" t="s">
        <v>314</v>
      </c>
      <c r="B104" s="83">
        <v>44026</v>
      </c>
      <c r="C104" s="68">
        <v>99460.5</v>
      </c>
      <c r="D104" s="68">
        <v>60.969303500000002</v>
      </c>
    </row>
    <row r="105" spans="1:4" hidden="1" x14ac:dyDescent="0.3">
      <c r="A105" t="s">
        <v>314</v>
      </c>
      <c r="B105" s="83">
        <v>44027</v>
      </c>
      <c r="C105" s="68">
        <v>99399.67</v>
      </c>
      <c r="D105" s="68">
        <v>-76.5002329</v>
      </c>
    </row>
    <row r="106" spans="1:4" hidden="1" x14ac:dyDescent="0.3">
      <c r="A106" t="s">
        <v>314</v>
      </c>
      <c r="B106" s="83">
        <v>44028</v>
      </c>
      <c r="C106" s="68">
        <v>99339.13</v>
      </c>
      <c r="D106" s="68">
        <v>-62.468170600000001</v>
      </c>
    </row>
    <row r="107" spans="1:4" hidden="1" x14ac:dyDescent="0.3">
      <c r="A107" t="s">
        <v>314</v>
      </c>
      <c r="B107" s="83">
        <v>44029</v>
      </c>
      <c r="C107" s="68">
        <v>99360.9</v>
      </c>
      <c r="D107" s="68">
        <v>47.137887450000001</v>
      </c>
    </row>
    <row r="108" spans="1:4" hidden="1" x14ac:dyDescent="0.3">
      <c r="A108" t="s">
        <v>314</v>
      </c>
      <c r="B108" s="83">
        <v>44032</v>
      </c>
      <c r="C108" s="68">
        <v>99280.25</v>
      </c>
      <c r="D108" s="68">
        <v>-89.553676949999996</v>
      </c>
    </row>
    <row r="109" spans="1:4" hidden="1" x14ac:dyDescent="0.3">
      <c r="A109" t="s">
        <v>314</v>
      </c>
      <c r="B109" s="83">
        <v>44033</v>
      </c>
      <c r="C109" s="68">
        <v>99342.91</v>
      </c>
      <c r="D109" s="68">
        <v>101.61969105</v>
      </c>
    </row>
    <row r="110" spans="1:4" hidden="1" x14ac:dyDescent="0.3">
      <c r="A110" t="s">
        <v>314</v>
      </c>
      <c r="B110" s="83">
        <v>44034</v>
      </c>
      <c r="C110" s="68">
        <v>99527.97</v>
      </c>
      <c r="D110" s="68">
        <v>264.78149775000003</v>
      </c>
    </row>
    <row r="111" spans="1:4" hidden="1" x14ac:dyDescent="0.3">
      <c r="A111" t="s">
        <v>314</v>
      </c>
      <c r="B111" s="83">
        <v>44035</v>
      </c>
      <c r="C111" s="68">
        <v>99528.88</v>
      </c>
      <c r="D111" s="68">
        <v>19.383746550000001</v>
      </c>
    </row>
    <row r="112" spans="1:4" hidden="1" x14ac:dyDescent="0.3">
      <c r="A112" t="s">
        <v>314</v>
      </c>
      <c r="B112" s="83">
        <v>44036</v>
      </c>
      <c r="C112" s="68">
        <v>99367</v>
      </c>
      <c r="D112" s="68">
        <v>-197.69396115000001</v>
      </c>
    </row>
    <row r="113" spans="1:4" hidden="1" x14ac:dyDescent="0.3">
      <c r="A113" t="s">
        <v>314</v>
      </c>
      <c r="B113" s="83">
        <v>44039</v>
      </c>
      <c r="C113" s="68">
        <v>99530.69</v>
      </c>
      <c r="D113" s="68">
        <v>172.34362145</v>
      </c>
    </row>
    <row r="114" spans="1:4" hidden="1" x14ac:dyDescent="0.3">
      <c r="A114" t="s">
        <v>314</v>
      </c>
      <c r="B114" s="83">
        <v>44040</v>
      </c>
      <c r="C114" s="68">
        <v>99531.6</v>
      </c>
      <c r="D114" s="68">
        <v>11.1596373</v>
      </c>
    </row>
    <row r="115" spans="1:4" hidden="1" x14ac:dyDescent="0.3">
      <c r="A115" t="s">
        <v>314</v>
      </c>
      <c r="B115" s="83">
        <v>44041</v>
      </c>
      <c r="C115" s="68">
        <v>99471.77</v>
      </c>
      <c r="D115" s="68">
        <v>-69.595625949999999</v>
      </c>
    </row>
    <row r="116" spans="1:4" hidden="1" x14ac:dyDescent="0.3">
      <c r="A116" t="s">
        <v>314</v>
      </c>
      <c r="B116" s="83">
        <v>44042</v>
      </c>
      <c r="C116" s="68">
        <v>99533.42</v>
      </c>
      <c r="D116" s="68">
        <v>92.159879250000003</v>
      </c>
    </row>
    <row r="117" spans="1:4" hidden="1" x14ac:dyDescent="0.3">
      <c r="A117" t="s">
        <v>314</v>
      </c>
      <c r="B117" s="83">
        <v>44043</v>
      </c>
      <c r="C117" s="68">
        <v>99473.82</v>
      </c>
      <c r="D117" s="68">
        <v>-69.311132700000002</v>
      </c>
    </row>
    <row r="118" spans="1:4" hidden="1" x14ac:dyDescent="0.3">
      <c r="A118" t="s">
        <v>314</v>
      </c>
      <c r="B118" s="83">
        <v>44046</v>
      </c>
      <c r="C118" s="68">
        <v>99434.62</v>
      </c>
      <c r="D118" s="68">
        <v>-42.119036575000003</v>
      </c>
    </row>
    <row r="119" spans="1:4" hidden="1" x14ac:dyDescent="0.3">
      <c r="A119" t="s">
        <v>314</v>
      </c>
      <c r="B119" s="83">
        <v>44047</v>
      </c>
      <c r="C119" s="68">
        <v>99475.87</v>
      </c>
      <c r="D119" s="68">
        <v>65.223639000000006</v>
      </c>
    </row>
    <row r="120" spans="1:4" hidden="1" x14ac:dyDescent="0.3">
      <c r="A120" t="s">
        <v>314</v>
      </c>
      <c r="B120" s="83">
        <v>44048</v>
      </c>
      <c r="C120" s="68">
        <v>99476.9</v>
      </c>
      <c r="D120" s="68">
        <v>11.30385025</v>
      </c>
    </row>
    <row r="121" spans="1:4" hidden="1" x14ac:dyDescent="0.3">
      <c r="A121" t="s">
        <v>314</v>
      </c>
      <c r="B121" s="83">
        <v>44049</v>
      </c>
      <c r="C121" s="68">
        <v>99899.28</v>
      </c>
      <c r="D121" s="68">
        <v>573.9597</v>
      </c>
    </row>
    <row r="122" spans="1:4" hidden="1" x14ac:dyDescent="0.3">
      <c r="A122" t="s">
        <v>314</v>
      </c>
      <c r="B122" s="83">
        <v>44050</v>
      </c>
      <c r="C122" s="68">
        <v>99879.39</v>
      </c>
      <c r="D122" s="68">
        <v>-25.017993700000002</v>
      </c>
    </row>
    <row r="123" spans="1:4" hidden="1" x14ac:dyDescent="0.3">
      <c r="A123" t="s">
        <v>314</v>
      </c>
      <c r="B123" s="83">
        <v>44053</v>
      </c>
      <c r="C123" s="68">
        <v>99899.68</v>
      </c>
      <c r="D123" s="68">
        <v>38.117533250000001</v>
      </c>
    </row>
    <row r="124" spans="1:4" hidden="1" x14ac:dyDescent="0.3">
      <c r="A124" t="s">
        <v>314</v>
      </c>
      <c r="B124" s="83">
        <v>44054</v>
      </c>
      <c r="C124" s="68">
        <v>99979.96</v>
      </c>
      <c r="D124" s="68">
        <v>117.97574287499999</v>
      </c>
    </row>
    <row r="125" spans="1:4" hidden="1" x14ac:dyDescent="0.3">
      <c r="A125" t="s">
        <v>314</v>
      </c>
      <c r="B125" s="83">
        <v>44055</v>
      </c>
      <c r="C125" s="68">
        <v>99880.11</v>
      </c>
      <c r="D125" s="68">
        <v>-122.321421675</v>
      </c>
    </row>
    <row r="126" spans="1:4" hidden="1" x14ac:dyDescent="0.3">
      <c r="A126" t="s">
        <v>314</v>
      </c>
      <c r="B126" s="83">
        <v>44056</v>
      </c>
      <c r="C126" s="68">
        <v>99920.21</v>
      </c>
      <c r="D126" s="68">
        <v>64.329238399999994</v>
      </c>
    </row>
    <row r="127" spans="1:4" hidden="1" x14ac:dyDescent="0.3">
      <c r="A127" t="s">
        <v>314</v>
      </c>
      <c r="B127" s="83">
        <v>44057</v>
      </c>
      <c r="C127" s="68">
        <v>99980.08</v>
      </c>
      <c r="D127" s="68">
        <v>91.004913999999999</v>
      </c>
    </row>
    <row r="128" spans="1:4" hidden="1" x14ac:dyDescent="0.3">
      <c r="A128" t="s">
        <v>314</v>
      </c>
      <c r="B128" s="83">
        <v>44060</v>
      </c>
      <c r="C128" s="68">
        <v>99880.82</v>
      </c>
      <c r="D128" s="68">
        <v>-121.84420242500001</v>
      </c>
    </row>
    <row r="129" spans="1:4" hidden="1" x14ac:dyDescent="0.3">
      <c r="A129" t="s">
        <v>314</v>
      </c>
      <c r="B129" s="83">
        <v>44061</v>
      </c>
      <c r="C129" s="68">
        <v>100119.15</v>
      </c>
      <c r="D129" s="68">
        <v>316.50121424999998</v>
      </c>
    </row>
    <row r="130" spans="1:4" hidden="1" x14ac:dyDescent="0.3">
      <c r="A130" t="s">
        <v>314</v>
      </c>
      <c r="B130" s="83">
        <v>44062</v>
      </c>
      <c r="C130" s="68">
        <v>100019.8</v>
      </c>
      <c r="D130" s="68">
        <v>-134.72753034999999</v>
      </c>
    </row>
    <row r="131" spans="1:4" hidden="1" x14ac:dyDescent="0.3">
      <c r="A131" t="s">
        <v>314</v>
      </c>
      <c r="B131" s="83">
        <v>44063</v>
      </c>
      <c r="C131" s="68">
        <v>100059.31</v>
      </c>
      <c r="D131" s="68">
        <v>50.836560900000002</v>
      </c>
    </row>
    <row r="132" spans="1:4" hidden="1" x14ac:dyDescent="0.3">
      <c r="A132" t="s">
        <v>314</v>
      </c>
      <c r="B132" s="83">
        <v>44064</v>
      </c>
      <c r="C132" s="68">
        <v>100019.73</v>
      </c>
      <c r="D132" s="68">
        <v>-54.862401374999997</v>
      </c>
    </row>
    <row r="133" spans="1:4" hidden="1" x14ac:dyDescent="0.3">
      <c r="A133" t="s">
        <v>314</v>
      </c>
      <c r="B133" s="83">
        <v>44067</v>
      </c>
      <c r="C133" s="68">
        <v>99901.66</v>
      </c>
      <c r="D133" s="68">
        <v>-159.77208354999999</v>
      </c>
    </row>
    <row r="134" spans="1:4" hidden="1" x14ac:dyDescent="0.3">
      <c r="A134" t="s">
        <v>314</v>
      </c>
      <c r="B134" s="83">
        <v>44068</v>
      </c>
      <c r="C134" s="68">
        <v>100019.65</v>
      </c>
      <c r="D134" s="68">
        <v>155.7450015</v>
      </c>
    </row>
    <row r="135" spans="1:4" hidden="1" x14ac:dyDescent="0.3">
      <c r="A135" t="s">
        <v>314</v>
      </c>
      <c r="B135" s="83">
        <v>44069</v>
      </c>
      <c r="C135" s="68">
        <v>99921.63</v>
      </c>
      <c r="D135" s="68">
        <v>-90.749751075000006</v>
      </c>
    </row>
    <row r="136" spans="1:4" hidden="1" x14ac:dyDescent="0.3">
      <c r="A136" t="s">
        <v>314</v>
      </c>
      <c r="B136" s="83">
        <v>44070</v>
      </c>
      <c r="C136" s="68">
        <v>99843.68</v>
      </c>
      <c r="D136" s="68">
        <v>-100.2157632</v>
      </c>
    </row>
    <row r="137" spans="1:4" hidden="1" x14ac:dyDescent="0.3">
      <c r="A137" t="s">
        <v>314</v>
      </c>
      <c r="B137" s="83">
        <v>44071</v>
      </c>
      <c r="C137" s="68">
        <v>100000</v>
      </c>
      <c r="D137" s="68">
        <v>213.0777544</v>
      </c>
    </row>
    <row r="138" spans="1:4" hidden="1" x14ac:dyDescent="0.3">
      <c r="A138" t="s">
        <v>314</v>
      </c>
      <c r="B138" s="83">
        <v>44074</v>
      </c>
      <c r="C138" s="68">
        <v>100038.98</v>
      </c>
      <c r="D138" s="68">
        <v>56.150768800000002</v>
      </c>
    </row>
    <row r="139" spans="1:4" hidden="1" x14ac:dyDescent="0.3">
      <c r="A139" t="s">
        <v>314</v>
      </c>
      <c r="B139" s="83">
        <v>44075</v>
      </c>
      <c r="C139" s="68">
        <v>100097.29</v>
      </c>
      <c r="D139" s="68">
        <v>82.014386999999999</v>
      </c>
    </row>
    <row r="140" spans="1:4" hidden="1" x14ac:dyDescent="0.3">
      <c r="A140" t="s">
        <v>314</v>
      </c>
      <c r="B140" s="83">
        <v>44076</v>
      </c>
      <c r="C140" s="68">
        <v>100116.53</v>
      </c>
      <c r="D140" s="68">
        <v>29.753561600000001</v>
      </c>
    </row>
    <row r="141" spans="1:4" hidden="1" x14ac:dyDescent="0.3">
      <c r="A141" t="s">
        <v>314</v>
      </c>
      <c r="B141" s="83">
        <v>44077</v>
      </c>
      <c r="C141" s="68">
        <v>100330.03</v>
      </c>
      <c r="D141" s="68">
        <v>289.67266999999998</v>
      </c>
    </row>
    <row r="142" spans="1:4" hidden="1" x14ac:dyDescent="0.3">
      <c r="A142" t="s">
        <v>314</v>
      </c>
      <c r="B142" s="83">
        <v>44078</v>
      </c>
      <c r="C142" s="68">
        <v>100426.53</v>
      </c>
      <c r="D142" s="68">
        <v>133.15632120000001</v>
      </c>
    </row>
    <row r="143" spans="1:4" hidden="1" x14ac:dyDescent="0.3">
      <c r="A143" t="s">
        <v>314</v>
      </c>
      <c r="B143" s="83">
        <v>44082</v>
      </c>
      <c r="C143" s="68">
        <v>100270.55</v>
      </c>
      <c r="D143" s="68">
        <v>-204.47312737499999</v>
      </c>
    </row>
    <row r="144" spans="1:4" hidden="1" x14ac:dyDescent="0.3">
      <c r="A144" t="s">
        <v>314</v>
      </c>
      <c r="B144" s="83">
        <v>44083</v>
      </c>
      <c r="C144" s="68">
        <v>100328</v>
      </c>
      <c r="D144" s="68">
        <v>113.001323075</v>
      </c>
    </row>
    <row r="145" spans="1:4" hidden="1" x14ac:dyDescent="0.3">
      <c r="A145" t="s">
        <v>314</v>
      </c>
      <c r="B145" s="83">
        <v>44084</v>
      </c>
      <c r="C145" s="68">
        <v>100385.25</v>
      </c>
      <c r="D145" s="68">
        <v>82.675994375000002</v>
      </c>
    </row>
    <row r="146" spans="1:4" hidden="1" x14ac:dyDescent="0.3">
      <c r="A146" t="s">
        <v>314</v>
      </c>
      <c r="B146" s="83">
        <v>44085</v>
      </c>
      <c r="C146" s="68">
        <v>100461.62</v>
      </c>
      <c r="D146" s="68">
        <v>108.3017574</v>
      </c>
    </row>
    <row r="147" spans="1:4" hidden="1" x14ac:dyDescent="0.3">
      <c r="A147" t="s">
        <v>314</v>
      </c>
      <c r="B147" s="83">
        <v>44088</v>
      </c>
      <c r="C147" s="68">
        <v>100499.19</v>
      </c>
      <c r="D147" s="68">
        <v>56.594803300000002</v>
      </c>
    </row>
    <row r="148" spans="1:4" hidden="1" x14ac:dyDescent="0.3">
      <c r="A148" t="s">
        <v>314</v>
      </c>
      <c r="B148" s="83">
        <v>44089</v>
      </c>
      <c r="C148" s="68">
        <v>100498.15</v>
      </c>
      <c r="D148" s="68">
        <v>4.6342029</v>
      </c>
    </row>
    <row r="149" spans="1:4" hidden="1" x14ac:dyDescent="0.3">
      <c r="A149" t="s">
        <v>314</v>
      </c>
      <c r="B149" s="83">
        <v>44090</v>
      </c>
      <c r="C149" s="68">
        <v>100324.61</v>
      </c>
      <c r="D149" s="68">
        <v>-226.43330599999999</v>
      </c>
    </row>
    <row r="150" spans="1:4" hidden="1" x14ac:dyDescent="0.3">
      <c r="A150" t="s">
        <v>314</v>
      </c>
      <c r="B150" s="83">
        <v>44091</v>
      </c>
      <c r="C150" s="68">
        <v>100457.78</v>
      </c>
      <c r="D150" s="68">
        <v>184.166153275</v>
      </c>
    </row>
    <row r="151" spans="1:4" hidden="1" x14ac:dyDescent="0.3">
      <c r="A151" t="s">
        <v>314</v>
      </c>
      <c r="B151" s="83">
        <v>44092</v>
      </c>
      <c r="C151" s="68">
        <v>100132.91</v>
      </c>
      <c r="D151" s="68">
        <v>-429.245341725</v>
      </c>
    </row>
    <row r="152" spans="1:4" hidden="1" x14ac:dyDescent="0.3">
      <c r="A152" t="s">
        <v>314</v>
      </c>
      <c r="B152" s="83">
        <v>44095</v>
      </c>
      <c r="C152" s="68">
        <v>99886.53</v>
      </c>
      <c r="D152" s="68">
        <v>-324.13320472499998</v>
      </c>
    </row>
    <row r="153" spans="1:4" hidden="1" x14ac:dyDescent="0.3">
      <c r="A153" t="s">
        <v>314</v>
      </c>
      <c r="B153" s="83">
        <v>44096</v>
      </c>
      <c r="C153" s="68">
        <v>100113.43</v>
      </c>
      <c r="D153" s="68">
        <v>310.07339762499998</v>
      </c>
    </row>
    <row r="154" spans="1:4" hidden="1" x14ac:dyDescent="0.3">
      <c r="A154" t="s">
        <v>314</v>
      </c>
      <c r="B154" s="83">
        <v>44097</v>
      </c>
      <c r="C154" s="68">
        <v>100018.85</v>
      </c>
      <c r="D154" s="68">
        <v>-121.0174928</v>
      </c>
    </row>
    <row r="155" spans="1:4" hidden="1" x14ac:dyDescent="0.3">
      <c r="A155" t="s">
        <v>314</v>
      </c>
      <c r="B155" s="83">
        <v>44098</v>
      </c>
      <c r="C155" s="68">
        <v>100075.28</v>
      </c>
      <c r="D155" s="68">
        <v>188.57872639999999</v>
      </c>
    </row>
    <row r="156" spans="1:4" hidden="1" x14ac:dyDescent="0.3">
      <c r="A156" t="s">
        <v>314</v>
      </c>
      <c r="B156" s="83">
        <v>44099</v>
      </c>
      <c r="C156" s="68">
        <v>99962.47</v>
      </c>
      <c r="D156" s="68">
        <v>-130.12040662499999</v>
      </c>
    </row>
    <row r="157" spans="1:4" hidden="1" x14ac:dyDescent="0.3">
      <c r="A157" t="s">
        <v>314</v>
      </c>
      <c r="B157" s="83">
        <v>44102</v>
      </c>
      <c r="C157" s="68">
        <v>99682.36</v>
      </c>
      <c r="D157" s="68">
        <v>-354.9777828</v>
      </c>
    </row>
    <row r="158" spans="1:4" hidden="1" x14ac:dyDescent="0.3">
      <c r="A158" t="s">
        <v>314</v>
      </c>
      <c r="B158" s="83">
        <v>44103</v>
      </c>
      <c r="C158" s="68">
        <v>99608.68</v>
      </c>
      <c r="D158" s="68">
        <v>-77.743306349999997</v>
      </c>
    </row>
    <row r="159" spans="1:4" hidden="1" x14ac:dyDescent="0.3">
      <c r="A159" t="s">
        <v>314</v>
      </c>
      <c r="B159" s="83">
        <v>44104</v>
      </c>
      <c r="C159" s="68">
        <v>99776.57</v>
      </c>
      <c r="D159" s="68">
        <v>246.5913329</v>
      </c>
    </row>
    <row r="160" spans="1:4" hidden="1" x14ac:dyDescent="0.3">
      <c r="A160" t="s">
        <v>314</v>
      </c>
      <c r="B160" s="83">
        <v>44105</v>
      </c>
      <c r="C160" s="68">
        <v>99795.6</v>
      </c>
      <c r="D160" s="68">
        <v>46.982075250000001</v>
      </c>
    </row>
    <row r="161" spans="1:4" hidden="1" x14ac:dyDescent="0.3">
      <c r="A161" t="s">
        <v>314</v>
      </c>
      <c r="B161" s="83">
        <v>44106</v>
      </c>
      <c r="C161" s="68">
        <v>99408.42</v>
      </c>
      <c r="D161" s="68">
        <v>-498.96147925000002</v>
      </c>
    </row>
    <row r="162" spans="1:4" hidden="1" x14ac:dyDescent="0.3">
      <c r="A162" t="s">
        <v>314</v>
      </c>
      <c r="B162" s="83">
        <v>44109</v>
      </c>
      <c r="C162" s="68">
        <v>99575.16</v>
      </c>
      <c r="D162" s="68">
        <v>245.16490687500001</v>
      </c>
    </row>
    <row r="163" spans="1:4" hidden="1" x14ac:dyDescent="0.3">
      <c r="A163" t="s">
        <v>314</v>
      </c>
      <c r="B163" s="83">
        <v>44110</v>
      </c>
      <c r="C163" s="68">
        <v>99484.28</v>
      </c>
      <c r="D163" s="68">
        <v>-101.018798</v>
      </c>
    </row>
    <row r="164" spans="1:4" hidden="1" x14ac:dyDescent="0.3">
      <c r="A164" t="s">
        <v>314</v>
      </c>
      <c r="B164" s="83">
        <v>44111</v>
      </c>
      <c r="C164" s="68">
        <v>99485.38</v>
      </c>
      <c r="D164" s="68">
        <v>22.598733625000001</v>
      </c>
    </row>
    <row r="165" spans="1:4" hidden="1" x14ac:dyDescent="0.3">
      <c r="A165" t="s">
        <v>314</v>
      </c>
      <c r="B165" s="83">
        <v>44112</v>
      </c>
      <c r="C165" s="68">
        <v>99596.18</v>
      </c>
      <c r="D165" s="68">
        <v>170.10138749999999</v>
      </c>
    </row>
    <row r="166" spans="1:4" hidden="1" x14ac:dyDescent="0.3">
      <c r="A166" t="s">
        <v>314</v>
      </c>
      <c r="B166" s="83">
        <v>44113</v>
      </c>
      <c r="C166" s="68">
        <v>99670.13</v>
      </c>
      <c r="D166" s="68">
        <v>291.90263712500001</v>
      </c>
    </row>
    <row r="167" spans="1:4" hidden="1" x14ac:dyDescent="0.3">
      <c r="A167" t="s">
        <v>314</v>
      </c>
      <c r="B167" s="83">
        <v>44117</v>
      </c>
      <c r="C167" s="68">
        <v>99634.37</v>
      </c>
      <c r="D167" s="68">
        <v>-17.579883375000001</v>
      </c>
    </row>
    <row r="168" spans="1:4" hidden="1" x14ac:dyDescent="0.3">
      <c r="A168" t="s">
        <v>314</v>
      </c>
      <c r="B168" s="83">
        <v>44118</v>
      </c>
      <c r="C168" s="68">
        <v>99653.35</v>
      </c>
      <c r="D168" s="68">
        <v>56.420976424999999</v>
      </c>
    </row>
    <row r="169" spans="1:4" hidden="1" x14ac:dyDescent="0.3">
      <c r="A169" t="s">
        <v>314</v>
      </c>
      <c r="B169" s="83">
        <v>44119</v>
      </c>
      <c r="C169" s="68">
        <v>99472.8</v>
      </c>
      <c r="D169" s="68">
        <v>-212.52930562500001</v>
      </c>
    </row>
    <row r="170" spans="1:4" hidden="1" x14ac:dyDescent="0.3">
      <c r="A170" t="s">
        <v>314</v>
      </c>
      <c r="B170" s="83">
        <v>44120</v>
      </c>
      <c r="C170" s="68">
        <v>99473.94</v>
      </c>
      <c r="D170" s="68">
        <v>32.319889574999998</v>
      </c>
    </row>
    <row r="171" spans="1:4" hidden="1" x14ac:dyDescent="0.3">
      <c r="A171" t="s">
        <v>314</v>
      </c>
      <c r="B171" s="83">
        <v>44123</v>
      </c>
      <c r="C171" s="68">
        <v>99547.23</v>
      </c>
      <c r="D171" s="68">
        <v>129.62908332500001</v>
      </c>
    </row>
    <row r="172" spans="1:4" hidden="1" x14ac:dyDescent="0.3">
      <c r="A172" t="s">
        <v>314</v>
      </c>
      <c r="B172" s="83">
        <v>44124</v>
      </c>
      <c r="C172" s="68">
        <v>99638.32</v>
      </c>
      <c r="D172" s="68">
        <v>153.69716159999999</v>
      </c>
    </row>
    <row r="173" spans="1:4" hidden="1" x14ac:dyDescent="0.3">
      <c r="A173" t="s">
        <v>314</v>
      </c>
      <c r="B173" s="83">
        <v>44125</v>
      </c>
      <c r="C173" s="68">
        <v>99855.4</v>
      </c>
      <c r="D173" s="68">
        <v>323.79063380000002</v>
      </c>
    </row>
    <row r="174" spans="1:4" hidden="1" x14ac:dyDescent="0.3">
      <c r="A174" t="s">
        <v>314</v>
      </c>
      <c r="B174" s="83">
        <v>44126</v>
      </c>
      <c r="C174" s="68">
        <v>99927.82</v>
      </c>
      <c r="D174" s="68">
        <v>128.65380875</v>
      </c>
    </row>
    <row r="175" spans="1:4" hidden="1" x14ac:dyDescent="0.3">
      <c r="A175" t="s">
        <v>314</v>
      </c>
      <c r="B175" s="83">
        <v>44127</v>
      </c>
      <c r="C175" s="68">
        <v>99730.33</v>
      </c>
      <c r="D175" s="68">
        <v>-235.7794035</v>
      </c>
    </row>
    <row r="176" spans="1:4" hidden="1" x14ac:dyDescent="0.3">
      <c r="A176" t="s">
        <v>314</v>
      </c>
      <c r="B176" s="83">
        <v>44130</v>
      </c>
      <c r="C176" s="68">
        <v>99730.92</v>
      </c>
      <c r="D176" s="68">
        <v>107.38919625</v>
      </c>
    </row>
    <row r="177" spans="1:4" hidden="1" x14ac:dyDescent="0.3">
      <c r="A177" t="s">
        <v>314</v>
      </c>
      <c r="B177" s="83">
        <v>44131</v>
      </c>
      <c r="C177" s="68">
        <v>99677.95</v>
      </c>
      <c r="D177" s="68">
        <v>-29.813529375000002</v>
      </c>
    </row>
    <row r="178" spans="1:4" hidden="1" x14ac:dyDescent="0.3">
      <c r="A178" t="s">
        <v>314</v>
      </c>
      <c r="B178" s="83">
        <v>44132</v>
      </c>
      <c r="C178" s="68">
        <v>99589.69</v>
      </c>
      <c r="D178" s="68">
        <v>-77.855943800000006</v>
      </c>
    </row>
    <row r="179" spans="1:4" hidden="1" x14ac:dyDescent="0.3">
      <c r="A179" t="s">
        <v>314</v>
      </c>
      <c r="B179" s="83">
        <v>44133</v>
      </c>
      <c r="C179" s="68">
        <v>99608.34</v>
      </c>
      <c r="D179" s="68">
        <v>66.966156249999997</v>
      </c>
    </row>
    <row r="180" spans="1:4" hidden="1" x14ac:dyDescent="0.3">
      <c r="A180" t="s">
        <v>314</v>
      </c>
      <c r="B180" s="83">
        <v>44134</v>
      </c>
      <c r="C180" s="68">
        <v>99467.7</v>
      </c>
      <c r="D180" s="68">
        <v>-148.64375745000001</v>
      </c>
    </row>
    <row r="181" spans="1:4" hidden="1" x14ac:dyDescent="0.3">
      <c r="A181" t="s">
        <v>314</v>
      </c>
      <c r="B181" s="83">
        <v>44138</v>
      </c>
      <c r="C181" s="68">
        <v>99380.79</v>
      </c>
      <c r="D181" s="68">
        <v>-76.009281450000003</v>
      </c>
    </row>
    <row r="182" spans="1:4" hidden="1" x14ac:dyDescent="0.3">
      <c r="A182" t="s">
        <v>314</v>
      </c>
      <c r="B182" s="83">
        <v>44139</v>
      </c>
      <c r="C182" s="68">
        <v>99452.47</v>
      </c>
      <c r="D182" s="68">
        <v>138.74683769999999</v>
      </c>
    </row>
    <row r="183" spans="1:4" hidden="1" x14ac:dyDescent="0.3">
      <c r="A183" t="s">
        <v>314</v>
      </c>
      <c r="B183" s="83">
        <v>44140</v>
      </c>
      <c r="C183" s="68">
        <v>99559.07</v>
      </c>
      <c r="D183" s="68">
        <v>186.3681354</v>
      </c>
    </row>
    <row r="184" spans="1:4" hidden="1" x14ac:dyDescent="0.3">
      <c r="A184" t="s">
        <v>314</v>
      </c>
      <c r="B184" s="83">
        <v>44141</v>
      </c>
      <c r="C184" s="68">
        <v>99647.8</v>
      </c>
      <c r="D184" s="68">
        <v>209.75815879999999</v>
      </c>
    </row>
    <row r="185" spans="1:4" hidden="1" x14ac:dyDescent="0.3">
      <c r="A185" t="s">
        <v>314</v>
      </c>
      <c r="B185" s="83">
        <v>44144</v>
      </c>
      <c r="C185" s="68">
        <v>99701.18</v>
      </c>
      <c r="D185" s="68">
        <v>117.38687520000001</v>
      </c>
    </row>
    <row r="186" spans="1:4" hidden="1" x14ac:dyDescent="0.3">
      <c r="A186" t="s">
        <v>314</v>
      </c>
      <c r="B186" s="83">
        <v>44145</v>
      </c>
      <c r="C186" s="68">
        <v>99736.85</v>
      </c>
      <c r="D186" s="68">
        <v>93.654735000000002</v>
      </c>
    </row>
    <row r="187" spans="1:4" hidden="1" x14ac:dyDescent="0.3">
      <c r="A187" t="s">
        <v>314</v>
      </c>
      <c r="B187" s="83">
        <v>44146</v>
      </c>
      <c r="C187" s="68">
        <v>99667.62</v>
      </c>
      <c r="D187" s="68">
        <v>-49.005438075000001</v>
      </c>
    </row>
    <row r="188" spans="1:4" hidden="1" x14ac:dyDescent="0.3">
      <c r="A188" t="s">
        <v>314</v>
      </c>
      <c r="B188" s="83">
        <v>44147</v>
      </c>
      <c r="C188" s="68">
        <v>99633.56</v>
      </c>
      <c r="D188" s="68">
        <v>-1.045985325</v>
      </c>
    </row>
    <row r="189" spans="1:4" hidden="1" x14ac:dyDescent="0.3">
      <c r="A189" t="s">
        <v>314</v>
      </c>
      <c r="B189" s="83">
        <v>44148</v>
      </c>
      <c r="C189" s="68">
        <v>99669.119999999995</v>
      </c>
      <c r="D189" s="68">
        <v>93.280044000000004</v>
      </c>
    </row>
    <row r="190" spans="1:4" hidden="1" x14ac:dyDescent="0.3">
      <c r="A190" t="s">
        <v>314</v>
      </c>
      <c r="B190" s="83">
        <v>44151</v>
      </c>
      <c r="C190" s="68">
        <v>99826.03</v>
      </c>
      <c r="D190" s="68">
        <v>258.52822479999998</v>
      </c>
    </row>
    <row r="191" spans="1:4" hidden="1" x14ac:dyDescent="0.3">
      <c r="A191" t="s">
        <v>314</v>
      </c>
      <c r="B191" s="83">
        <v>44152</v>
      </c>
      <c r="C191" s="68">
        <v>99843.76</v>
      </c>
      <c r="D191" s="68">
        <v>44.180957925000001</v>
      </c>
    </row>
    <row r="192" spans="1:4" hidden="1" x14ac:dyDescent="0.3">
      <c r="A192" t="s">
        <v>314</v>
      </c>
      <c r="B192" s="83">
        <v>44153</v>
      </c>
      <c r="C192" s="68">
        <v>99809.53</v>
      </c>
      <c r="D192" s="68">
        <v>-26.237052375000001</v>
      </c>
    </row>
    <row r="193" spans="1:4" hidden="1" x14ac:dyDescent="0.3">
      <c r="A193" t="s">
        <v>314</v>
      </c>
      <c r="B193" s="83">
        <v>44154</v>
      </c>
      <c r="C193" s="68">
        <v>99965.41</v>
      </c>
      <c r="D193" s="68">
        <v>232.13187719999999</v>
      </c>
    </row>
    <row r="194" spans="1:4" hidden="1" x14ac:dyDescent="0.3">
      <c r="A194" t="s">
        <v>314</v>
      </c>
      <c r="B194" s="83">
        <v>44155</v>
      </c>
      <c r="C194" s="68">
        <v>99896.51</v>
      </c>
      <c r="D194" s="68">
        <v>-73.425800199999998</v>
      </c>
    </row>
    <row r="195" spans="1:4" hidden="1" x14ac:dyDescent="0.3">
      <c r="A195" t="s">
        <v>314</v>
      </c>
      <c r="B195" s="83">
        <v>44158</v>
      </c>
      <c r="C195" s="68">
        <v>99862.37</v>
      </c>
      <c r="D195" s="68">
        <v>-26.390711025000002</v>
      </c>
    </row>
    <row r="196" spans="1:4" hidden="1" x14ac:dyDescent="0.3">
      <c r="A196" t="s">
        <v>314</v>
      </c>
      <c r="B196" s="83">
        <v>44159</v>
      </c>
      <c r="C196" s="68">
        <v>99948.47</v>
      </c>
      <c r="D196" s="68">
        <v>137.52382954999999</v>
      </c>
    </row>
    <row r="197" spans="1:4" hidden="1" x14ac:dyDescent="0.3">
      <c r="A197" t="s">
        <v>314</v>
      </c>
      <c r="B197" s="83">
        <v>44160</v>
      </c>
      <c r="C197" s="68">
        <v>99965.72</v>
      </c>
      <c r="D197" s="68">
        <v>178.85371262500001</v>
      </c>
    </row>
    <row r="198" spans="1:4" hidden="1" x14ac:dyDescent="0.3">
      <c r="A198" t="s">
        <v>314</v>
      </c>
      <c r="B198" s="83">
        <v>44161</v>
      </c>
      <c r="C198" s="68">
        <v>99982.9</v>
      </c>
      <c r="D198" s="68">
        <v>62.994046500000003</v>
      </c>
    </row>
    <row r="199" spans="1:4" hidden="1" x14ac:dyDescent="0.3">
      <c r="A199" t="s">
        <v>314</v>
      </c>
      <c r="B199" s="83">
        <v>44162</v>
      </c>
      <c r="C199" s="68">
        <v>100051.21</v>
      </c>
      <c r="D199" s="68">
        <v>133.00437132499999</v>
      </c>
    </row>
    <row r="200" spans="1:4" hidden="1" x14ac:dyDescent="0.3">
      <c r="A200" t="s">
        <v>314</v>
      </c>
      <c r="B200" s="83">
        <v>44165</v>
      </c>
      <c r="C200" s="68">
        <v>100017.03</v>
      </c>
      <c r="D200" s="68">
        <v>-7.0544908499999996</v>
      </c>
    </row>
    <row r="201" spans="1:4" hidden="1" x14ac:dyDescent="0.3">
      <c r="A201" t="s">
        <v>314</v>
      </c>
      <c r="B201" s="83">
        <v>44166</v>
      </c>
      <c r="C201" s="68">
        <v>100204.14</v>
      </c>
      <c r="D201" s="68">
        <v>294.97704025000002</v>
      </c>
    </row>
    <row r="202" spans="1:4" hidden="1" x14ac:dyDescent="0.3">
      <c r="A202" t="s">
        <v>314</v>
      </c>
      <c r="B202" s="83">
        <v>44167</v>
      </c>
      <c r="C202" s="68">
        <v>100169.67</v>
      </c>
      <c r="D202" s="68">
        <v>-7.1825431499999999</v>
      </c>
    </row>
    <row r="203" spans="1:4" hidden="1" x14ac:dyDescent="0.3">
      <c r="A203" t="s">
        <v>314</v>
      </c>
      <c r="B203" s="83">
        <v>44168</v>
      </c>
      <c r="C203" s="68">
        <v>100220.15</v>
      </c>
      <c r="D203" s="68">
        <v>108.58334000000001</v>
      </c>
    </row>
    <row r="204" spans="1:4" hidden="1" x14ac:dyDescent="0.3">
      <c r="A204" t="s">
        <v>314</v>
      </c>
      <c r="B204" s="83">
        <v>44169</v>
      </c>
      <c r="C204" s="68">
        <v>100321.26</v>
      </c>
      <c r="D204" s="68">
        <v>178.05494999999999</v>
      </c>
    </row>
    <row r="205" spans="1:4" hidden="1" x14ac:dyDescent="0.3">
      <c r="A205" t="s">
        <v>314</v>
      </c>
      <c r="B205" s="83">
        <v>44172</v>
      </c>
      <c r="C205" s="68">
        <v>100320.5</v>
      </c>
      <c r="D205" s="68">
        <v>38.877479999999998</v>
      </c>
    </row>
    <row r="206" spans="1:4" hidden="1" x14ac:dyDescent="0.3">
      <c r="A206" t="s">
        <v>314</v>
      </c>
      <c r="B206" s="83">
        <v>44173</v>
      </c>
      <c r="C206" s="68">
        <v>100353.49</v>
      </c>
      <c r="D206" s="68">
        <v>209.28181739999999</v>
      </c>
    </row>
    <row r="207" spans="1:4" hidden="1" x14ac:dyDescent="0.3">
      <c r="A207" t="s">
        <v>314</v>
      </c>
      <c r="B207" s="83">
        <v>44174</v>
      </c>
      <c r="C207" s="68">
        <v>100352.66</v>
      </c>
      <c r="D207" s="68">
        <v>46.570488175000001</v>
      </c>
    </row>
    <row r="208" spans="1:4" hidden="1" x14ac:dyDescent="0.3">
      <c r="A208" t="s">
        <v>314</v>
      </c>
      <c r="B208" s="83">
        <v>44175</v>
      </c>
      <c r="C208" s="68">
        <v>100066.86</v>
      </c>
      <c r="D208" s="68">
        <v>-343.8162471</v>
      </c>
    </row>
    <row r="209" spans="1:4" hidden="1" x14ac:dyDescent="0.3">
      <c r="A209" t="s">
        <v>314</v>
      </c>
      <c r="B209" s="83">
        <v>44176</v>
      </c>
      <c r="C209" s="68">
        <v>99950.02</v>
      </c>
      <c r="D209" s="68">
        <v>-112.57061115</v>
      </c>
    </row>
    <row r="210" spans="1:4" hidden="1" x14ac:dyDescent="0.3">
      <c r="A210" t="s">
        <v>314</v>
      </c>
      <c r="B210" s="83">
        <v>44179</v>
      </c>
      <c r="C210" s="68">
        <v>99933.53</v>
      </c>
      <c r="D210" s="68">
        <v>24.8845575</v>
      </c>
    </row>
    <row r="211" spans="1:4" hidden="1" x14ac:dyDescent="0.3">
      <c r="A211" t="s">
        <v>314</v>
      </c>
      <c r="B211" s="83">
        <v>44180</v>
      </c>
      <c r="C211" s="68">
        <v>100000</v>
      </c>
      <c r="D211" s="68">
        <v>138.91868640000001</v>
      </c>
    </row>
    <row r="212" spans="1:4" hidden="1" x14ac:dyDescent="0.3">
      <c r="A212" t="s">
        <v>314</v>
      </c>
      <c r="B212" s="83">
        <v>44181</v>
      </c>
      <c r="C212" s="68">
        <v>100049.66</v>
      </c>
      <c r="D212" s="68">
        <v>139.673982075</v>
      </c>
    </row>
    <row r="213" spans="1:4" hidden="1" x14ac:dyDescent="0.3">
      <c r="A213" t="s">
        <v>314</v>
      </c>
      <c r="B213" s="83">
        <v>44182</v>
      </c>
      <c r="C213" s="68">
        <v>100082.59</v>
      </c>
      <c r="D213" s="68">
        <v>117.016123675</v>
      </c>
    </row>
    <row r="214" spans="1:4" hidden="1" x14ac:dyDescent="0.3">
      <c r="A214" t="s">
        <v>314</v>
      </c>
      <c r="B214" s="83">
        <v>44183</v>
      </c>
      <c r="C214" s="68">
        <v>100049.42</v>
      </c>
      <c r="D214" s="68">
        <v>25.9702065</v>
      </c>
    </row>
    <row r="215" spans="1:4" hidden="1" x14ac:dyDescent="0.3">
      <c r="A215" t="s">
        <v>314</v>
      </c>
      <c r="B215" s="83">
        <v>44186</v>
      </c>
      <c r="C215" s="68">
        <v>100115.11</v>
      </c>
      <c r="D215" s="68">
        <v>162.10129950000001</v>
      </c>
    </row>
    <row r="216" spans="1:4" hidden="1" x14ac:dyDescent="0.3">
      <c r="A216" t="s">
        <v>314</v>
      </c>
      <c r="B216" s="83">
        <v>44187</v>
      </c>
      <c r="C216" s="68">
        <v>100000</v>
      </c>
      <c r="D216" s="68">
        <v>-86.533102499999998</v>
      </c>
    </row>
    <row r="217" spans="1:4" hidden="1" x14ac:dyDescent="0.3">
      <c r="A217" t="s">
        <v>314</v>
      </c>
      <c r="B217" s="83">
        <v>44188</v>
      </c>
      <c r="C217" s="68">
        <v>100098.17</v>
      </c>
      <c r="D217" s="68">
        <v>187.63684895</v>
      </c>
    </row>
    <row r="218" spans="1:4" hidden="1" x14ac:dyDescent="0.3">
      <c r="A218" t="s">
        <v>314</v>
      </c>
      <c r="B218" s="83">
        <v>44193</v>
      </c>
      <c r="C218" s="68">
        <v>100048.83</v>
      </c>
      <c r="D218" s="68">
        <v>69.364996199999993</v>
      </c>
    </row>
    <row r="219" spans="1:4" hidden="1" x14ac:dyDescent="0.3">
      <c r="A219" t="s">
        <v>314</v>
      </c>
      <c r="B219" s="83">
        <v>44194</v>
      </c>
      <c r="C219" s="68">
        <v>100081.2</v>
      </c>
      <c r="D219" s="68">
        <v>113.13755805</v>
      </c>
    </row>
    <row r="220" spans="1:4" hidden="1" x14ac:dyDescent="0.3">
      <c r="A220" t="s">
        <v>314</v>
      </c>
      <c r="B220" s="83">
        <v>44195</v>
      </c>
      <c r="C220" s="68">
        <v>100064.8</v>
      </c>
      <c r="D220" s="68">
        <v>46.144525874999999</v>
      </c>
    </row>
    <row r="221" spans="1:4" hidden="1" x14ac:dyDescent="0.3">
      <c r="A221" t="s">
        <v>314</v>
      </c>
      <c r="B221" s="83">
        <v>44200</v>
      </c>
      <c r="C221" s="68">
        <v>100064.48</v>
      </c>
      <c r="D221" s="68">
        <v>137.32177870000001</v>
      </c>
    </row>
    <row r="222" spans="1:4" hidden="1" x14ac:dyDescent="0.3">
      <c r="A222" t="s">
        <v>314</v>
      </c>
      <c r="B222" s="83">
        <v>44201</v>
      </c>
      <c r="C222" s="68">
        <v>100096.5</v>
      </c>
      <c r="D222" s="68">
        <v>112.9963276</v>
      </c>
    </row>
    <row r="223" spans="1:4" hidden="1" x14ac:dyDescent="0.3">
      <c r="A223" t="s">
        <v>314</v>
      </c>
      <c r="B223" s="83">
        <v>44202</v>
      </c>
      <c r="C223" s="68">
        <v>100160.53</v>
      </c>
      <c r="D223" s="68">
        <v>157.54170465000001</v>
      </c>
    </row>
    <row r="224" spans="1:4" hidden="1" x14ac:dyDescent="0.3">
      <c r="A224" t="s">
        <v>314</v>
      </c>
      <c r="B224" s="83">
        <v>44203</v>
      </c>
      <c r="C224" s="68">
        <v>100031.99</v>
      </c>
      <c r="D224" s="68">
        <v>-108.78185295</v>
      </c>
    </row>
    <row r="225" spans="1:4" hidden="1" x14ac:dyDescent="0.3">
      <c r="A225" t="s">
        <v>314</v>
      </c>
      <c r="B225" s="83">
        <v>44204</v>
      </c>
      <c r="C225" s="68">
        <v>99936.22</v>
      </c>
      <c r="D225" s="68">
        <v>-63.606632124999997</v>
      </c>
    </row>
    <row r="226" spans="1:4" hidden="1" x14ac:dyDescent="0.3">
      <c r="A226" t="s">
        <v>314</v>
      </c>
      <c r="B226" s="83">
        <v>44207</v>
      </c>
      <c r="C226" s="68">
        <v>99793.48</v>
      </c>
      <c r="D226" s="68">
        <v>-128.80965</v>
      </c>
    </row>
    <row r="227" spans="1:4" hidden="1" x14ac:dyDescent="0.3">
      <c r="A227" t="s">
        <v>314</v>
      </c>
      <c r="B227" s="83">
        <v>44208</v>
      </c>
      <c r="C227" s="68">
        <v>99873.15</v>
      </c>
      <c r="D227" s="68">
        <v>343.06531087500002</v>
      </c>
    </row>
    <row r="228" spans="1:4" hidden="1" x14ac:dyDescent="0.3">
      <c r="A228" t="s">
        <v>314</v>
      </c>
      <c r="B228" s="83">
        <v>44209</v>
      </c>
      <c r="C228" s="68">
        <v>99762.96</v>
      </c>
      <c r="D228" s="68">
        <v>-74.930463825000004</v>
      </c>
    </row>
    <row r="229" spans="1:4" hidden="1" x14ac:dyDescent="0.3">
      <c r="A229" t="s">
        <v>314</v>
      </c>
      <c r="B229" s="83">
        <v>44210</v>
      </c>
      <c r="C229" s="68">
        <v>99779.29</v>
      </c>
      <c r="D229" s="68">
        <v>100.9019538</v>
      </c>
    </row>
    <row r="230" spans="1:4" hidden="1" x14ac:dyDescent="0.3">
      <c r="A230" t="s">
        <v>314</v>
      </c>
      <c r="B230" s="83">
        <v>44211</v>
      </c>
      <c r="C230" s="68">
        <v>99779.839999999997</v>
      </c>
      <c r="D230" s="68">
        <v>78.98818095</v>
      </c>
    </row>
    <row r="231" spans="1:4" hidden="1" x14ac:dyDescent="0.3">
      <c r="A231" t="s">
        <v>314</v>
      </c>
      <c r="B231" s="83">
        <v>44214</v>
      </c>
      <c r="C231" s="68">
        <v>99764.74</v>
      </c>
      <c r="D231" s="68">
        <v>-13.63908825</v>
      </c>
    </row>
    <row r="232" spans="1:4" hidden="1" x14ac:dyDescent="0.3">
      <c r="A232" t="s">
        <v>314</v>
      </c>
      <c r="B232" s="83">
        <v>44215</v>
      </c>
      <c r="C232" s="68">
        <v>99734.11</v>
      </c>
      <c r="D232" s="68">
        <v>-34.985105799999999</v>
      </c>
    </row>
    <row r="233" spans="1:4" hidden="1" x14ac:dyDescent="0.3">
      <c r="A233" t="s">
        <v>314</v>
      </c>
      <c r="B233" s="83">
        <v>44216</v>
      </c>
      <c r="C233" s="68">
        <v>99672.55</v>
      </c>
      <c r="D233" s="68">
        <v>-78.253704275000004</v>
      </c>
    </row>
    <row r="234" spans="1:4" hidden="1" x14ac:dyDescent="0.3">
      <c r="A234" t="s">
        <v>314</v>
      </c>
      <c r="B234" s="83">
        <v>44217</v>
      </c>
      <c r="C234" s="68">
        <v>99564.89</v>
      </c>
      <c r="D234" s="68">
        <v>-142.14614750000001</v>
      </c>
    </row>
    <row r="235" spans="1:4" hidden="1" x14ac:dyDescent="0.3">
      <c r="A235" t="s">
        <v>314</v>
      </c>
      <c r="B235" s="83">
        <v>44218</v>
      </c>
      <c r="C235" s="68">
        <v>99473.4</v>
      </c>
      <c r="D235" s="68">
        <v>-119.9215584</v>
      </c>
    </row>
    <row r="236" spans="1:4" hidden="1" x14ac:dyDescent="0.3">
      <c r="A236" t="s">
        <v>314</v>
      </c>
      <c r="B236" s="83">
        <v>44222</v>
      </c>
      <c r="C236" s="68">
        <v>99368.77</v>
      </c>
      <c r="D236" s="68">
        <v>-130.69396717500001</v>
      </c>
    </row>
    <row r="237" spans="1:4" hidden="1" x14ac:dyDescent="0.3">
      <c r="A237" t="s">
        <v>314</v>
      </c>
      <c r="B237" s="83">
        <v>44223</v>
      </c>
      <c r="C237" s="68">
        <v>99416.23</v>
      </c>
      <c r="D237" s="68">
        <v>89.255620500000006</v>
      </c>
    </row>
    <row r="238" spans="1:4" hidden="1" x14ac:dyDescent="0.3">
      <c r="A238" t="s">
        <v>314</v>
      </c>
      <c r="B238" s="83">
        <v>44224</v>
      </c>
      <c r="C238" s="68">
        <v>99524.57</v>
      </c>
      <c r="D238" s="68">
        <v>160.113995475</v>
      </c>
    </row>
    <row r="239" spans="1:4" hidden="1" x14ac:dyDescent="0.3">
      <c r="A239" t="s">
        <v>314</v>
      </c>
      <c r="B239" s="83">
        <v>44225</v>
      </c>
      <c r="C239" s="68">
        <v>99586.77</v>
      </c>
      <c r="D239" s="68">
        <v>96.154591775</v>
      </c>
    </row>
    <row r="240" spans="1:4" hidden="1" x14ac:dyDescent="0.3">
      <c r="A240" t="s">
        <v>314</v>
      </c>
      <c r="B240" s="83">
        <v>44228</v>
      </c>
      <c r="C240" s="68">
        <v>99603.05</v>
      </c>
      <c r="D240" s="68">
        <v>31.9818201</v>
      </c>
    </row>
    <row r="241" spans="1:4" hidden="1" x14ac:dyDescent="0.3">
      <c r="A241" t="s">
        <v>314</v>
      </c>
      <c r="B241" s="83">
        <v>44229</v>
      </c>
      <c r="C241" s="68">
        <v>99664.82</v>
      </c>
      <c r="D241" s="68">
        <v>95.583259200000001</v>
      </c>
    </row>
    <row r="242" spans="1:4" hidden="1" x14ac:dyDescent="0.3">
      <c r="A242" t="s">
        <v>314</v>
      </c>
      <c r="B242" s="83">
        <v>44230</v>
      </c>
      <c r="C242" s="68">
        <v>99726.34</v>
      </c>
      <c r="D242" s="68">
        <v>95.011870049999999</v>
      </c>
    </row>
    <row r="243" spans="1:4" hidden="1" x14ac:dyDescent="0.3">
      <c r="A243" t="s">
        <v>314</v>
      </c>
      <c r="B243" s="83">
        <v>44231</v>
      </c>
      <c r="C243" s="68">
        <v>99787.6</v>
      </c>
      <c r="D243" s="68">
        <v>94.914079849999993</v>
      </c>
    </row>
    <row r="244" spans="1:4" hidden="1" x14ac:dyDescent="0.3">
      <c r="A244" t="s">
        <v>314</v>
      </c>
      <c r="B244" s="83">
        <v>44232</v>
      </c>
      <c r="C244" s="68">
        <v>99788.15</v>
      </c>
      <c r="D244" s="68">
        <v>10.10015625</v>
      </c>
    </row>
    <row r="245" spans="1:4" hidden="1" x14ac:dyDescent="0.3">
      <c r="A245" t="s">
        <v>314</v>
      </c>
      <c r="B245" s="83">
        <v>44235</v>
      </c>
      <c r="C245" s="68">
        <v>100015.12</v>
      </c>
      <c r="D245" s="68">
        <v>325.82905125000002</v>
      </c>
    </row>
    <row r="246" spans="1:4" hidden="1" x14ac:dyDescent="0.3">
      <c r="A246" t="s">
        <v>314</v>
      </c>
      <c r="B246" s="83">
        <v>44236</v>
      </c>
      <c r="C246" s="68">
        <v>99969.85</v>
      </c>
      <c r="D246" s="68">
        <v>-110.00466615000001</v>
      </c>
    </row>
    <row r="247" spans="1:4" hidden="1" x14ac:dyDescent="0.3">
      <c r="A247" t="s">
        <v>314</v>
      </c>
      <c r="B247" s="83">
        <v>44237</v>
      </c>
      <c r="C247" s="68">
        <v>100000</v>
      </c>
      <c r="D247" s="68">
        <v>48.104606250000003</v>
      </c>
    </row>
    <row r="248" spans="1:4" hidden="1" x14ac:dyDescent="0.3">
      <c r="A248" t="s">
        <v>314</v>
      </c>
      <c r="B248" s="83">
        <v>44238</v>
      </c>
      <c r="C248" s="68">
        <v>99955.02</v>
      </c>
      <c r="D248" s="68">
        <v>-56.316882849999999</v>
      </c>
    </row>
    <row r="249" spans="1:4" hidden="1" x14ac:dyDescent="0.3">
      <c r="A249" t="s">
        <v>314</v>
      </c>
      <c r="B249" s="83">
        <v>44239</v>
      </c>
      <c r="C249" s="68">
        <v>99955.14</v>
      </c>
      <c r="D249" s="68">
        <v>6.2705587500000002</v>
      </c>
    </row>
    <row r="250" spans="1:4" hidden="1" x14ac:dyDescent="0.3">
      <c r="A250" t="s">
        <v>314</v>
      </c>
      <c r="B250" s="83">
        <v>44244</v>
      </c>
      <c r="C250" s="68">
        <v>99925.440000000002</v>
      </c>
      <c r="D250" s="68">
        <v>-35.286521700000002</v>
      </c>
    </row>
    <row r="251" spans="1:4" hidden="1" x14ac:dyDescent="0.3">
      <c r="A251" t="s">
        <v>314</v>
      </c>
      <c r="B251" s="83">
        <v>44245</v>
      </c>
      <c r="C251" s="68">
        <v>99955.37</v>
      </c>
      <c r="D251" s="68">
        <v>82.295641474999996</v>
      </c>
    </row>
    <row r="252" spans="1:4" hidden="1" x14ac:dyDescent="0.3">
      <c r="A252" t="s">
        <v>314</v>
      </c>
      <c r="B252" s="83">
        <v>44246</v>
      </c>
      <c r="C252" s="68">
        <v>99896.2</v>
      </c>
      <c r="D252" s="68">
        <v>-41.936899975000003</v>
      </c>
    </row>
    <row r="253" spans="1:4" hidden="1" x14ac:dyDescent="0.3">
      <c r="A253" t="s">
        <v>314</v>
      </c>
      <c r="B253" s="83">
        <v>44249</v>
      </c>
      <c r="C253" s="68">
        <v>99586.99</v>
      </c>
      <c r="D253" s="68">
        <v>-390.851972875</v>
      </c>
    </row>
    <row r="254" spans="1:4" hidden="1" x14ac:dyDescent="0.3">
      <c r="A254" t="s">
        <v>314</v>
      </c>
      <c r="B254" s="83">
        <v>44250</v>
      </c>
      <c r="C254" s="68">
        <v>99588.09</v>
      </c>
      <c r="D254" s="68">
        <v>41.95361475</v>
      </c>
    </row>
    <row r="255" spans="1:4" hidden="1" x14ac:dyDescent="0.3">
      <c r="A255" t="s">
        <v>314</v>
      </c>
      <c r="B255" s="83">
        <v>44251</v>
      </c>
      <c r="C255" s="68">
        <v>99603.82</v>
      </c>
      <c r="D255" s="68">
        <v>62.380987300000001</v>
      </c>
    </row>
    <row r="256" spans="1:4" hidden="1" x14ac:dyDescent="0.3">
      <c r="A256" t="s">
        <v>314</v>
      </c>
      <c r="B256" s="83">
        <v>44252</v>
      </c>
      <c r="C256" s="68">
        <v>99430.12</v>
      </c>
      <c r="D256" s="68">
        <v>-202.19772552500001</v>
      </c>
    </row>
    <row r="257" spans="1:4" hidden="1" x14ac:dyDescent="0.3">
      <c r="A257" t="s">
        <v>314</v>
      </c>
      <c r="B257" s="83">
        <v>44253</v>
      </c>
      <c r="C257" s="68">
        <v>99200.07</v>
      </c>
      <c r="D257" s="68">
        <v>-281.08718714999998</v>
      </c>
    </row>
    <row r="258" spans="1:4" hidden="1" x14ac:dyDescent="0.3">
      <c r="A258" t="s">
        <v>314</v>
      </c>
      <c r="B258" s="83">
        <v>44256</v>
      </c>
      <c r="C258" s="68">
        <v>99187.82</v>
      </c>
      <c r="D258" s="68">
        <v>23.131976375000001</v>
      </c>
    </row>
    <row r="259" spans="1:4" hidden="1" x14ac:dyDescent="0.3">
      <c r="A259" t="s">
        <v>314</v>
      </c>
      <c r="B259" s="83">
        <v>44257</v>
      </c>
      <c r="C259" s="68">
        <v>99204.38</v>
      </c>
      <c r="D259" s="68">
        <v>63.632764649999999</v>
      </c>
    </row>
    <row r="260" spans="1:4" hidden="1" x14ac:dyDescent="0.3">
      <c r="A260" t="s">
        <v>314</v>
      </c>
      <c r="B260" s="83">
        <v>44258</v>
      </c>
      <c r="C260" s="68">
        <v>99263.89</v>
      </c>
      <c r="D260" s="68">
        <v>123.479443</v>
      </c>
    </row>
    <row r="261" spans="1:4" hidden="1" x14ac:dyDescent="0.3">
      <c r="A261" t="s">
        <v>314</v>
      </c>
      <c r="B261" s="83">
        <v>44259</v>
      </c>
      <c r="C261" s="68">
        <v>99351.79</v>
      </c>
      <c r="D261" s="68">
        <v>163.51489425</v>
      </c>
    </row>
    <row r="262" spans="1:4" hidden="1" x14ac:dyDescent="0.3">
      <c r="A262" t="s">
        <v>314</v>
      </c>
      <c r="B262" s="83">
        <v>44260</v>
      </c>
      <c r="C262" s="68">
        <v>99611.28</v>
      </c>
      <c r="D262" s="68">
        <v>403.505211825</v>
      </c>
    </row>
    <row r="263" spans="1:4" hidden="1" x14ac:dyDescent="0.3">
      <c r="A263" t="s">
        <v>314</v>
      </c>
      <c r="B263" s="83">
        <v>44263</v>
      </c>
      <c r="C263" s="68">
        <v>99455.15</v>
      </c>
      <c r="D263" s="68">
        <v>-177.97304600000001</v>
      </c>
    </row>
    <row r="264" spans="1:4" hidden="1" x14ac:dyDescent="0.3">
      <c r="A264" t="s">
        <v>314</v>
      </c>
      <c r="B264" s="83">
        <v>44264</v>
      </c>
      <c r="C264" s="68">
        <v>99371.31</v>
      </c>
      <c r="D264" s="68">
        <v>-77.112388499999994</v>
      </c>
    </row>
    <row r="265" spans="1:4" hidden="1" x14ac:dyDescent="0.3">
      <c r="A265" t="s">
        <v>314</v>
      </c>
      <c r="B265" s="83">
        <v>44265</v>
      </c>
      <c r="C265" s="68">
        <v>99344.7</v>
      </c>
      <c r="D265" s="68">
        <v>3.2509754000000002</v>
      </c>
    </row>
    <row r="266" spans="1:4" hidden="1" x14ac:dyDescent="0.3">
      <c r="A266" t="s">
        <v>314</v>
      </c>
      <c r="B266" s="83">
        <v>44266</v>
      </c>
      <c r="C266" s="68">
        <v>99360.639999999999</v>
      </c>
      <c r="D266" s="68">
        <v>308.24070254999998</v>
      </c>
    </row>
    <row r="267" spans="1:4" hidden="1" x14ac:dyDescent="0.3">
      <c r="A267" t="s">
        <v>314</v>
      </c>
      <c r="B267" s="83">
        <v>44267</v>
      </c>
      <c r="C267" s="68">
        <v>99165.46</v>
      </c>
      <c r="D267" s="68">
        <v>-218.04668799999999</v>
      </c>
    </row>
    <row r="268" spans="1:4" hidden="1" x14ac:dyDescent="0.3">
      <c r="A268" t="s">
        <v>314</v>
      </c>
      <c r="B268" s="83">
        <v>44270</v>
      </c>
      <c r="C268" s="68">
        <v>99055.83</v>
      </c>
      <c r="D268" s="68">
        <v>-98.280076399999999</v>
      </c>
    </row>
    <row r="269" spans="1:4" hidden="1" x14ac:dyDescent="0.3">
      <c r="A269" t="s">
        <v>314</v>
      </c>
      <c r="B269" s="83">
        <v>44271</v>
      </c>
      <c r="C269" s="68">
        <v>99100.29</v>
      </c>
      <c r="D269" s="68">
        <v>107.59993710000001</v>
      </c>
    </row>
    <row r="270" spans="1:4" hidden="1" x14ac:dyDescent="0.3">
      <c r="A270" t="s">
        <v>314</v>
      </c>
      <c r="B270" s="83">
        <v>44272</v>
      </c>
      <c r="C270" s="68">
        <v>99172.4</v>
      </c>
      <c r="D270" s="68">
        <v>146.538803675</v>
      </c>
    </row>
    <row r="271" spans="1:4" hidden="1" x14ac:dyDescent="0.3">
      <c r="A271" t="s">
        <v>314</v>
      </c>
      <c r="B271" s="83">
        <v>44273</v>
      </c>
      <c r="C271" s="68">
        <v>98704.4</v>
      </c>
      <c r="D271" s="68">
        <v>-613.49291274999996</v>
      </c>
    </row>
    <row r="272" spans="1:4" hidden="1" x14ac:dyDescent="0.3">
      <c r="A272" t="s">
        <v>314</v>
      </c>
      <c r="B272" s="83">
        <v>44274</v>
      </c>
      <c r="C272" s="68">
        <v>98420.24</v>
      </c>
      <c r="D272" s="68">
        <v>-359.184132675</v>
      </c>
    </row>
    <row r="273" spans="1:4" hidden="1" x14ac:dyDescent="0.3">
      <c r="A273" t="s">
        <v>314</v>
      </c>
      <c r="B273" s="83">
        <v>44277</v>
      </c>
      <c r="C273" s="68">
        <v>98561.15</v>
      </c>
      <c r="D273" s="68">
        <v>239.44378409999999</v>
      </c>
    </row>
    <row r="274" spans="1:4" hidden="1" x14ac:dyDescent="0.3">
      <c r="A274" t="s">
        <v>314</v>
      </c>
      <c r="B274" s="83">
        <v>44278</v>
      </c>
      <c r="C274" s="68">
        <v>98456.29</v>
      </c>
      <c r="D274" s="68">
        <v>-106.94082299999999</v>
      </c>
    </row>
    <row r="275" spans="1:4" hidden="1" x14ac:dyDescent="0.3">
      <c r="A275" t="s">
        <v>314</v>
      </c>
      <c r="B275" s="83">
        <v>44279</v>
      </c>
      <c r="C275" s="68">
        <v>98433.52</v>
      </c>
      <c r="D275" s="68">
        <v>8.8941500750000007</v>
      </c>
    </row>
    <row r="276" spans="1:4" hidden="1" x14ac:dyDescent="0.3">
      <c r="A276" t="s">
        <v>314</v>
      </c>
      <c r="B276" s="83">
        <v>44280</v>
      </c>
      <c r="C276" s="68">
        <v>98410.92</v>
      </c>
      <c r="D276" s="68">
        <v>8.8553809000000001</v>
      </c>
    </row>
    <row r="277" spans="1:4" hidden="1" x14ac:dyDescent="0.3">
      <c r="A277" t="s">
        <v>314</v>
      </c>
      <c r="B277" s="83">
        <v>44281</v>
      </c>
      <c r="C277" s="68">
        <v>98280.85</v>
      </c>
      <c r="D277" s="68">
        <v>-52.546898749999997</v>
      </c>
    </row>
    <row r="278" spans="1:4" hidden="1" x14ac:dyDescent="0.3">
      <c r="A278" t="s">
        <v>314</v>
      </c>
      <c r="B278" s="83">
        <v>44284</v>
      </c>
      <c r="C278" s="68">
        <v>98098.39</v>
      </c>
      <c r="D278" s="68">
        <v>-206.94855054999999</v>
      </c>
    </row>
    <row r="279" spans="1:4" hidden="1" x14ac:dyDescent="0.3">
      <c r="A279" t="s">
        <v>314</v>
      </c>
      <c r="B279" s="83">
        <v>44285</v>
      </c>
      <c r="C279" s="68">
        <v>98303.99</v>
      </c>
      <c r="D279" s="68">
        <v>341.35603600000002</v>
      </c>
    </row>
    <row r="280" spans="1:4" hidden="1" x14ac:dyDescent="0.3">
      <c r="A280" t="s">
        <v>314</v>
      </c>
      <c r="B280" s="83">
        <v>44286</v>
      </c>
      <c r="C280" s="68">
        <v>98509.15</v>
      </c>
      <c r="D280" s="68">
        <v>340.97954625</v>
      </c>
    </row>
    <row r="281" spans="1:4" hidden="1" x14ac:dyDescent="0.3">
      <c r="A281" t="s">
        <v>314</v>
      </c>
      <c r="B281" s="83">
        <v>44287</v>
      </c>
      <c r="C281" s="68">
        <v>98606.89</v>
      </c>
      <c r="D281" s="68">
        <v>189.29435087499999</v>
      </c>
    </row>
    <row r="282" spans="1:4" hidden="1" x14ac:dyDescent="0.3">
      <c r="A282" t="s">
        <v>314</v>
      </c>
      <c r="B282" s="83">
        <v>44291</v>
      </c>
      <c r="C282" s="68">
        <v>98557.63</v>
      </c>
      <c r="D282" s="68">
        <v>-18.577538525000001</v>
      </c>
    </row>
    <row r="283" spans="1:4" hidden="1" x14ac:dyDescent="0.3">
      <c r="A283" t="s">
        <v>314</v>
      </c>
      <c r="B283" s="83">
        <v>44292</v>
      </c>
      <c r="C283" s="68">
        <v>98389.5</v>
      </c>
      <c r="D283" s="68">
        <v>-186.91021230000001</v>
      </c>
    </row>
    <row r="284" spans="1:4" hidden="1" x14ac:dyDescent="0.3">
      <c r="A284" t="s">
        <v>314</v>
      </c>
      <c r="B284" s="83">
        <v>44293</v>
      </c>
      <c r="C284" s="68">
        <v>98262.36</v>
      </c>
      <c r="D284" s="68">
        <v>-128.81982600000001</v>
      </c>
    </row>
    <row r="285" spans="1:4" hidden="1" x14ac:dyDescent="0.3">
      <c r="A285" t="s">
        <v>314</v>
      </c>
      <c r="B285" s="83">
        <v>44294</v>
      </c>
      <c r="C285" s="68">
        <v>98398.81</v>
      </c>
      <c r="D285" s="68">
        <v>244.2434982</v>
      </c>
    </row>
    <row r="286" spans="1:4" hidden="1" x14ac:dyDescent="0.3">
      <c r="A286" t="s">
        <v>314</v>
      </c>
      <c r="B286" s="83">
        <v>44295</v>
      </c>
      <c r="C286" s="68">
        <v>98102.53</v>
      </c>
      <c r="D286" s="68">
        <v>-493.06902522500002</v>
      </c>
    </row>
    <row r="287" spans="1:4" hidden="1" x14ac:dyDescent="0.3">
      <c r="A287" t="s">
        <v>314</v>
      </c>
      <c r="B287" s="83">
        <v>44298</v>
      </c>
      <c r="C287" s="68">
        <v>98082.04</v>
      </c>
      <c r="D287" s="68">
        <v>14.9340206</v>
      </c>
    </row>
    <row r="288" spans="1:4" hidden="1" x14ac:dyDescent="0.3">
      <c r="A288" t="s">
        <v>314</v>
      </c>
      <c r="B288" s="83">
        <v>44299</v>
      </c>
      <c r="C288" s="68">
        <v>97984</v>
      </c>
      <c r="D288" s="68">
        <v>-94.787389125000004</v>
      </c>
    </row>
    <row r="289" spans="1:4" hidden="1" x14ac:dyDescent="0.3">
      <c r="A289" t="s">
        <v>314</v>
      </c>
      <c r="B289" s="83">
        <v>44300</v>
      </c>
      <c r="C289" s="68">
        <v>98067.39</v>
      </c>
      <c r="D289" s="68">
        <v>162.14355305000001</v>
      </c>
    </row>
    <row r="290" spans="1:4" hidden="1" x14ac:dyDescent="0.3">
      <c r="A290" t="s">
        <v>314</v>
      </c>
      <c r="B290" s="83">
        <v>44301</v>
      </c>
      <c r="C290" s="68">
        <v>98266.71</v>
      </c>
      <c r="D290" s="68">
        <v>326.94899279999998</v>
      </c>
    </row>
    <row r="291" spans="1:4" hidden="1" x14ac:dyDescent="0.3">
      <c r="A291" t="s">
        <v>314</v>
      </c>
      <c r="B291" s="83">
        <v>44302</v>
      </c>
      <c r="C291" s="68">
        <v>98465.57</v>
      </c>
      <c r="D291" s="68">
        <v>293.508256125</v>
      </c>
    </row>
    <row r="292" spans="1:4" hidden="1" x14ac:dyDescent="0.3">
      <c r="A292" t="s">
        <v>314</v>
      </c>
      <c r="B292" s="83">
        <v>44305</v>
      </c>
      <c r="C292" s="68">
        <v>98483.01</v>
      </c>
      <c r="D292" s="68">
        <v>36.104575199999999</v>
      </c>
    </row>
    <row r="293" spans="1:4" hidden="1" x14ac:dyDescent="0.3">
      <c r="A293" t="s">
        <v>314</v>
      </c>
      <c r="B293" s="83">
        <v>44306</v>
      </c>
      <c r="C293" s="68">
        <v>98320.52</v>
      </c>
      <c r="D293" s="68">
        <v>-219.05261039999999</v>
      </c>
    </row>
    <row r="294" spans="1:4" hidden="1" x14ac:dyDescent="0.3">
      <c r="A294" t="s">
        <v>314</v>
      </c>
      <c r="B294" s="83">
        <v>44308</v>
      </c>
      <c r="C294" s="68">
        <v>98440.74</v>
      </c>
      <c r="D294" s="68">
        <v>182.00970649999999</v>
      </c>
    </row>
    <row r="295" spans="1:4" hidden="1" x14ac:dyDescent="0.3">
      <c r="A295" t="s">
        <v>314</v>
      </c>
      <c r="B295" s="83">
        <v>44309</v>
      </c>
      <c r="C295" s="68">
        <v>98534.92</v>
      </c>
      <c r="D295" s="68">
        <v>145.06668920000001</v>
      </c>
    </row>
    <row r="296" spans="1:4" hidden="1" x14ac:dyDescent="0.3">
      <c r="A296" t="s">
        <v>314</v>
      </c>
      <c r="B296" s="83">
        <v>44312</v>
      </c>
      <c r="C296" s="68">
        <v>98488.29</v>
      </c>
      <c r="D296" s="68">
        <v>-54.878749800000001</v>
      </c>
    </row>
    <row r="297" spans="1:4" hidden="1" x14ac:dyDescent="0.3">
      <c r="A297" t="s">
        <v>314</v>
      </c>
      <c r="B297" s="83">
        <v>44313</v>
      </c>
      <c r="C297" s="68">
        <v>98442.02</v>
      </c>
      <c r="D297" s="68">
        <v>-54.150317700000002</v>
      </c>
    </row>
    <row r="298" spans="1:4" hidden="1" x14ac:dyDescent="0.3">
      <c r="A298" t="s">
        <v>314</v>
      </c>
      <c r="B298" s="83">
        <v>44314</v>
      </c>
      <c r="C298">
        <v>98497.39</v>
      </c>
      <c r="D298">
        <v>36.840955049999998</v>
      </c>
    </row>
    <row r="299" spans="1:4" hidden="1" x14ac:dyDescent="0.3">
      <c r="A299" t="s">
        <v>314</v>
      </c>
      <c r="B299" s="83">
        <v>44315</v>
      </c>
      <c r="C299">
        <v>98527.21</v>
      </c>
      <c r="D299">
        <v>47.300735250000002</v>
      </c>
    </row>
    <row r="300" spans="1:4" hidden="1" x14ac:dyDescent="0.3">
      <c r="A300" t="s">
        <v>314</v>
      </c>
      <c r="B300" s="83">
        <v>44316</v>
      </c>
      <c r="C300">
        <v>98430.96</v>
      </c>
      <c r="D300">
        <v>-132.048255625</v>
      </c>
    </row>
    <row r="301" spans="1:4" hidden="1" x14ac:dyDescent="0.3">
      <c r="A301" t="s">
        <v>314</v>
      </c>
      <c r="B301" s="83">
        <v>44319</v>
      </c>
      <c r="C301">
        <v>98185.48</v>
      </c>
      <c r="D301">
        <v>-344.09721485</v>
      </c>
    </row>
    <row r="302" spans="1:4" hidden="1" x14ac:dyDescent="0.3">
      <c r="A302" t="s">
        <v>314</v>
      </c>
      <c r="B302" s="83">
        <v>44320</v>
      </c>
      <c r="C302">
        <v>98091.53</v>
      </c>
      <c r="D302">
        <v>-128.5747944</v>
      </c>
    </row>
    <row r="303" spans="1:4" hidden="1" x14ac:dyDescent="0.3">
      <c r="A303" t="s">
        <v>314</v>
      </c>
      <c r="B303" s="83">
        <v>44321</v>
      </c>
      <c r="C303">
        <v>98134.54</v>
      </c>
      <c r="D303">
        <v>65.8027175</v>
      </c>
    </row>
    <row r="304" spans="1:4" hidden="1" x14ac:dyDescent="0.3">
      <c r="A304" t="s">
        <v>314</v>
      </c>
      <c r="B304" s="83">
        <v>44322</v>
      </c>
      <c r="C304">
        <v>98350.73</v>
      </c>
      <c r="D304">
        <v>312.20123790000002</v>
      </c>
    </row>
    <row r="305" spans="1:4" hidden="1" x14ac:dyDescent="0.3">
      <c r="A305" t="s">
        <v>314</v>
      </c>
      <c r="B305" s="83">
        <v>44323</v>
      </c>
      <c r="C305">
        <v>98442.45</v>
      </c>
      <c r="D305">
        <v>131.01626880000001</v>
      </c>
    </row>
    <row r="306" spans="1:4" hidden="1" x14ac:dyDescent="0.3">
      <c r="A306" t="s">
        <v>314</v>
      </c>
      <c r="B306" s="83">
        <v>44326</v>
      </c>
      <c r="C306">
        <v>98459.61</v>
      </c>
      <c r="D306">
        <v>25.023900000000001</v>
      </c>
    </row>
    <row r="307" spans="1:4" hidden="1" x14ac:dyDescent="0.3">
      <c r="A307" t="s">
        <v>314</v>
      </c>
      <c r="B307" s="83">
        <v>44327</v>
      </c>
      <c r="C307">
        <v>98637.04</v>
      </c>
      <c r="D307">
        <v>275.82727970000002</v>
      </c>
    </row>
    <row r="308" spans="1:4" hidden="1" x14ac:dyDescent="0.3">
      <c r="A308" t="s">
        <v>314</v>
      </c>
      <c r="B308" s="83">
        <v>44328</v>
      </c>
      <c r="C308">
        <v>98555.16</v>
      </c>
      <c r="D308">
        <v>-114.36498</v>
      </c>
    </row>
    <row r="309" spans="1:4" hidden="1" x14ac:dyDescent="0.3">
      <c r="A309" t="s">
        <v>314</v>
      </c>
      <c r="B309" s="83">
        <v>44329</v>
      </c>
      <c r="C309">
        <v>98535.16</v>
      </c>
      <c r="D309">
        <v>-26.603695250000001</v>
      </c>
    </row>
    <row r="310" spans="1:4" hidden="1" x14ac:dyDescent="0.3">
      <c r="A310" t="s">
        <v>314</v>
      </c>
      <c r="B310" s="83">
        <v>44330</v>
      </c>
      <c r="C310">
        <v>98466.52</v>
      </c>
      <c r="D310">
        <v>-95.559781299999997</v>
      </c>
    </row>
    <row r="311" spans="1:4" hidden="1" x14ac:dyDescent="0.3">
      <c r="A311" t="s">
        <v>314</v>
      </c>
      <c r="B311" s="83">
        <v>44333</v>
      </c>
      <c r="C311">
        <v>98617.43</v>
      </c>
      <c r="D311">
        <v>216.84854945000001</v>
      </c>
    </row>
    <row r="312" spans="1:4" hidden="1" x14ac:dyDescent="0.3">
      <c r="A312" t="s">
        <v>314</v>
      </c>
      <c r="B312" s="83">
        <v>44334</v>
      </c>
      <c r="C312">
        <v>98658.26</v>
      </c>
      <c r="D312">
        <v>88.574836500000004</v>
      </c>
    </row>
    <row r="313" spans="1:4" hidden="1" x14ac:dyDescent="0.3">
      <c r="A313" t="s">
        <v>314</v>
      </c>
      <c r="B313" s="83">
        <v>44335</v>
      </c>
      <c r="C313">
        <v>98529.32</v>
      </c>
      <c r="D313">
        <v>-153.40082039999999</v>
      </c>
    </row>
    <row r="314" spans="1:4" hidden="1" x14ac:dyDescent="0.3">
      <c r="A314" t="s">
        <v>314</v>
      </c>
      <c r="B314" s="83">
        <v>44336</v>
      </c>
      <c r="C314">
        <v>98570.16</v>
      </c>
      <c r="D314">
        <v>88.593852824999999</v>
      </c>
    </row>
    <row r="315" spans="1:4" hidden="1" x14ac:dyDescent="0.3">
      <c r="A315" t="s">
        <v>314</v>
      </c>
      <c r="B315" s="83">
        <v>44337</v>
      </c>
      <c r="C315">
        <v>98622.83</v>
      </c>
      <c r="D315">
        <v>105.4833113</v>
      </c>
    </row>
    <row r="316" spans="1:4" hidden="1" x14ac:dyDescent="0.3">
      <c r="A316" t="s">
        <v>314</v>
      </c>
      <c r="B316" s="83">
        <v>44340</v>
      </c>
      <c r="C316">
        <v>98735.31</v>
      </c>
      <c r="D316">
        <v>190.78302937500001</v>
      </c>
    </row>
    <row r="317" spans="1:4" hidden="1" x14ac:dyDescent="0.3">
      <c r="A317" t="s">
        <v>314</v>
      </c>
      <c r="B317" s="83">
        <v>44341</v>
      </c>
      <c r="C317">
        <v>98655.55</v>
      </c>
      <c r="D317">
        <v>-83.524187775000001</v>
      </c>
    </row>
    <row r="318" spans="1:4" hidden="1" x14ac:dyDescent="0.3">
      <c r="A318" t="s">
        <v>314</v>
      </c>
      <c r="B318" s="83">
        <v>44342</v>
      </c>
      <c r="C318">
        <v>98600.27</v>
      </c>
      <c r="D318">
        <v>-43.495661949999999</v>
      </c>
    </row>
    <row r="319" spans="1:4" hidden="1" x14ac:dyDescent="0.3">
      <c r="A319" t="s">
        <v>314</v>
      </c>
      <c r="B319" s="83">
        <v>44343</v>
      </c>
      <c r="C319">
        <v>98533.58</v>
      </c>
      <c r="D319">
        <v>-64.0344257</v>
      </c>
    </row>
    <row r="320" spans="1:4" hidden="1" x14ac:dyDescent="0.3">
      <c r="A320" t="s">
        <v>314</v>
      </c>
      <c r="B320" s="83">
        <v>44344</v>
      </c>
      <c r="C320">
        <v>98692.22</v>
      </c>
      <c r="D320">
        <v>257.59885059999999</v>
      </c>
    </row>
    <row r="321" spans="1:4" hidden="1" x14ac:dyDescent="0.3">
      <c r="A321" t="s">
        <v>314</v>
      </c>
      <c r="B321" s="83">
        <v>44347</v>
      </c>
      <c r="C321">
        <v>98637.41</v>
      </c>
      <c r="D321">
        <v>-47.113678800000002</v>
      </c>
    </row>
    <row r="322" spans="1:4" hidden="1" x14ac:dyDescent="0.3">
      <c r="A322" t="s">
        <v>314</v>
      </c>
      <c r="B322" s="83">
        <v>44348</v>
      </c>
      <c r="C322">
        <v>98547.81</v>
      </c>
      <c r="D322">
        <v>-96.860775000000004</v>
      </c>
    </row>
    <row r="323" spans="1:4" hidden="1" x14ac:dyDescent="0.3">
      <c r="A323" t="s">
        <v>314</v>
      </c>
      <c r="B323" s="83">
        <v>44349</v>
      </c>
      <c r="C323">
        <v>98587.68</v>
      </c>
      <c r="D323">
        <v>88.077281900000003</v>
      </c>
    </row>
    <row r="324" spans="1:4" hidden="1" x14ac:dyDescent="0.3">
      <c r="A324" t="s">
        <v>314</v>
      </c>
      <c r="B324" s="83">
        <v>44351</v>
      </c>
      <c r="C324">
        <v>98557.29</v>
      </c>
      <c r="D324">
        <v>-12.080436875</v>
      </c>
    </row>
    <row r="325" spans="1:4" hidden="1" x14ac:dyDescent="0.3">
      <c r="A325" t="s">
        <v>314</v>
      </c>
      <c r="B325" s="83">
        <v>44354</v>
      </c>
      <c r="C325">
        <v>98562.03</v>
      </c>
      <c r="D325">
        <v>37.870173399999999</v>
      </c>
    </row>
    <row r="326" spans="1:4" hidden="1" x14ac:dyDescent="0.3">
      <c r="A326" t="s">
        <v>314</v>
      </c>
      <c r="B326" s="83">
        <v>44355</v>
      </c>
      <c r="C326">
        <v>98497.27</v>
      </c>
      <c r="D326">
        <v>-61.560761925000001</v>
      </c>
    </row>
    <row r="327" spans="1:4" hidden="1" x14ac:dyDescent="0.3">
      <c r="A327" t="s">
        <v>314</v>
      </c>
      <c r="B327" s="83">
        <v>44356</v>
      </c>
      <c r="C327">
        <v>98479.16</v>
      </c>
      <c r="D327">
        <v>139.66641645000001</v>
      </c>
    </row>
    <row r="328" spans="1:4" hidden="1" x14ac:dyDescent="0.3">
      <c r="A328" t="s">
        <v>314</v>
      </c>
      <c r="B328" s="83">
        <v>44357</v>
      </c>
      <c r="C328">
        <v>98392.320000000007</v>
      </c>
      <c r="D328">
        <v>-85.055078499999993</v>
      </c>
    </row>
    <row r="329" spans="1:4" hidden="1" x14ac:dyDescent="0.3">
      <c r="A329" t="s">
        <v>314</v>
      </c>
      <c r="B329" s="83">
        <v>44358</v>
      </c>
      <c r="C329">
        <v>98283.4</v>
      </c>
      <c r="D329">
        <v>-116.56001325</v>
      </c>
    </row>
    <row r="330" spans="1:4" hidden="1" x14ac:dyDescent="0.3">
      <c r="A330" t="s">
        <v>314</v>
      </c>
      <c r="B330" s="83">
        <v>44361</v>
      </c>
      <c r="C330">
        <v>98277.759999999995</v>
      </c>
      <c r="D330">
        <v>31.45408935</v>
      </c>
    </row>
    <row r="331" spans="1:4" hidden="1" x14ac:dyDescent="0.3">
      <c r="A331" t="s">
        <v>314</v>
      </c>
      <c r="B331" s="83">
        <v>44362</v>
      </c>
      <c r="C331">
        <v>98170.28</v>
      </c>
      <c r="D331">
        <v>-114.44682640000001</v>
      </c>
    </row>
    <row r="332" spans="1:4" hidden="1" x14ac:dyDescent="0.3">
      <c r="A332" t="s">
        <v>314</v>
      </c>
      <c r="B332" s="83">
        <v>44363</v>
      </c>
      <c r="C332">
        <v>98221.54</v>
      </c>
      <c r="D332">
        <v>90.722468550000002</v>
      </c>
    </row>
    <row r="333" spans="1:4" hidden="1" x14ac:dyDescent="0.3">
      <c r="A333" t="s">
        <v>314</v>
      </c>
      <c r="B333" s="83">
        <v>44364</v>
      </c>
      <c r="C333">
        <v>97891.22</v>
      </c>
      <c r="D333">
        <v>-457.30159844999997</v>
      </c>
    </row>
    <row r="334" spans="1:4" hidden="1" x14ac:dyDescent="0.3">
      <c r="A334" t="s">
        <v>314</v>
      </c>
      <c r="B334" s="83">
        <v>44365</v>
      </c>
      <c r="C334">
        <v>97842.68</v>
      </c>
      <c r="D334">
        <v>-56.649509625</v>
      </c>
    </row>
    <row r="335" spans="1:4" hidden="1" x14ac:dyDescent="0.3">
      <c r="A335" t="s">
        <v>314</v>
      </c>
      <c r="B335" s="83">
        <v>44368</v>
      </c>
      <c r="C335">
        <v>98105.65</v>
      </c>
      <c r="D335">
        <v>390.758337375</v>
      </c>
    </row>
    <row r="336" spans="1:4" hidden="1" x14ac:dyDescent="0.3">
      <c r="A336" t="s">
        <v>314</v>
      </c>
      <c r="B336" s="83">
        <v>44369</v>
      </c>
      <c r="C336">
        <v>97979</v>
      </c>
      <c r="D336">
        <v>-168.885554375</v>
      </c>
    </row>
    <row r="337" spans="1:4" hidden="1" x14ac:dyDescent="0.3">
      <c r="A337" t="s">
        <v>314</v>
      </c>
      <c r="B337" s="83">
        <v>44370</v>
      </c>
      <c r="C337">
        <v>98041.13</v>
      </c>
      <c r="D337">
        <v>102.334288775</v>
      </c>
    </row>
    <row r="338" spans="1:4" hidden="1" x14ac:dyDescent="0.3">
      <c r="A338" t="s">
        <v>314</v>
      </c>
      <c r="B338" s="83">
        <v>44371</v>
      </c>
      <c r="C338">
        <v>98036.82</v>
      </c>
      <c r="D338">
        <v>6.8566007249999998</v>
      </c>
    </row>
    <row r="339" spans="1:4" hidden="1" x14ac:dyDescent="0.3">
      <c r="A339" t="s">
        <v>314</v>
      </c>
      <c r="B339" s="83">
        <v>44372</v>
      </c>
      <c r="C339">
        <v>97966.81</v>
      </c>
      <c r="D339">
        <v>-87.605610975000005</v>
      </c>
    </row>
    <row r="340" spans="1:4" hidden="1" x14ac:dyDescent="0.3">
      <c r="A340" t="s">
        <v>314</v>
      </c>
      <c r="B340" s="83">
        <v>44375</v>
      </c>
      <c r="C340">
        <v>98126.94</v>
      </c>
      <c r="D340">
        <v>254.844167</v>
      </c>
    </row>
    <row r="341" spans="1:4" hidden="1" x14ac:dyDescent="0.3">
      <c r="A341" t="s">
        <v>314</v>
      </c>
      <c r="B341" s="83">
        <v>44376</v>
      </c>
      <c r="C341">
        <v>98155.26</v>
      </c>
      <c r="D341">
        <v>55.014645199999997</v>
      </c>
    </row>
    <row r="342" spans="1:4" hidden="1" x14ac:dyDescent="0.3">
      <c r="A342" t="s">
        <v>314</v>
      </c>
      <c r="B342" s="83">
        <v>44377</v>
      </c>
      <c r="C342">
        <v>98161.67</v>
      </c>
      <c r="D342">
        <v>23.4852144</v>
      </c>
    </row>
    <row r="343" spans="1:4" hidden="1" x14ac:dyDescent="0.3">
      <c r="A343" t="s">
        <v>314</v>
      </c>
      <c r="B343" s="83">
        <v>44378</v>
      </c>
      <c r="C343">
        <v>98168.08</v>
      </c>
      <c r="D343">
        <v>23.4913752</v>
      </c>
    </row>
    <row r="344" spans="1:4" hidden="1" x14ac:dyDescent="0.3">
      <c r="A344" t="s">
        <v>314</v>
      </c>
      <c r="B344" s="83">
        <v>44379</v>
      </c>
      <c r="C344">
        <v>98282.68</v>
      </c>
      <c r="D344">
        <v>179.500177675</v>
      </c>
    </row>
    <row r="345" spans="1:4" hidden="1" x14ac:dyDescent="0.3">
      <c r="A345" t="s">
        <v>314</v>
      </c>
      <c r="B345" s="83">
        <v>44382</v>
      </c>
      <c r="C345">
        <v>98331.9</v>
      </c>
      <c r="D345">
        <v>85.157843400000004</v>
      </c>
    </row>
    <row r="346" spans="1:4" hidden="1" x14ac:dyDescent="0.3">
      <c r="A346" t="s">
        <v>314</v>
      </c>
      <c r="B346" s="83">
        <v>44383</v>
      </c>
      <c r="C346">
        <v>98262.5</v>
      </c>
      <c r="D346">
        <v>-85.454019200000005</v>
      </c>
    </row>
    <row r="347" spans="1:4" hidden="1" x14ac:dyDescent="0.3">
      <c r="A347" t="s">
        <v>314</v>
      </c>
      <c r="B347" s="83">
        <v>44384</v>
      </c>
      <c r="C347">
        <v>98247.24</v>
      </c>
      <c r="D347">
        <v>-7.7234249999999998</v>
      </c>
    </row>
    <row r="348" spans="1:4" hidden="1" x14ac:dyDescent="0.3">
      <c r="A348" t="s">
        <v>314</v>
      </c>
      <c r="B348" s="83">
        <v>44385</v>
      </c>
      <c r="C348">
        <v>98221.47</v>
      </c>
      <c r="D348">
        <v>-77.182552125000001</v>
      </c>
    </row>
    <row r="349" spans="1:4" hidden="1" x14ac:dyDescent="0.3">
      <c r="A349" t="s">
        <v>314</v>
      </c>
      <c r="B349" s="83">
        <v>44389</v>
      </c>
      <c r="C349">
        <v>98191.83</v>
      </c>
      <c r="D349">
        <v>-20.382173699999999</v>
      </c>
    </row>
    <row r="350" spans="1:4" hidden="1" x14ac:dyDescent="0.3">
      <c r="A350" t="s">
        <v>314</v>
      </c>
      <c r="B350" s="83">
        <v>44390</v>
      </c>
      <c r="C350">
        <v>98261.6</v>
      </c>
      <c r="D350">
        <v>111.88387400000001</v>
      </c>
    </row>
    <row r="351" spans="1:4" hidden="1" x14ac:dyDescent="0.3">
      <c r="A351" t="s">
        <v>314</v>
      </c>
      <c r="B351" s="83">
        <v>44391</v>
      </c>
      <c r="C351">
        <v>98309.94</v>
      </c>
      <c r="D351">
        <v>80.745838524999996</v>
      </c>
    </row>
    <row r="352" spans="1:4" hidden="1" x14ac:dyDescent="0.3">
      <c r="A352" t="s">
        <v>314</v>
      </c>
      <c r="B352" s="83">
        <v>44392</v>
      </c>
      <c r="C352">
        <v>98284.61</v>
      </c>
      <c r="D352">
        <v>-25.243662499999999</v>
      </c>
    </row>
    <row r="353" spans="1:4" hidden="1" x14ac:dyDescent="0.3">
      <c r="A353" t="s">
        <v>314</v>
      </c>
      <c r="B353" s="83">
        <v>44393</v>
      </c>
      <c r="C353">
        <v>98353.52</v>
      </c>
      <c r="D353">
        <v>126.69583900000001</v>
      </c>
    </row>
    <row r="354" spans="1:4" hidden="1" x14ac:dyDescent="0.3">
      <c r="A354" t="s">
        <v>314</v>
      </c>
      <c r="B354" s="83">
        <v>44396</v>
      </c>
      <c r="C354">
        <v>98359.53</v>
      </c>
      <c r="D354">
        <v>35.943523499999998</v>
      </c>
    </row>
    <row r="355" spans="1:4" hidden="1" x14ac:dyDescent="0.3">
      <c r="A355" t="s">
        <v>314</v>
      </c>
      <c r="B355" s="83">
        <v>44397</v>
      </c>
      <c r="C355">
        <v>98417.45</v>
      </c>
      <c r="D355">
        <v>110.91556025</v>
      </c>
    </row>
    <row r="356" spans="1:4" hidden="1" x14ac:dyDescent="0.3">
      <c r="A356" t="s">
        <v>314</v>
      </c>
      <c r="B356" s="83">
        <v>44398</v>
      </c>
      <c r="C356">
        <v>98485.41</v>
      </c>
      <c r="D356">
        <v>125.4434194</v>
      </c>
    </row>
    <row r="357" spans="1:4" hidden="1" x14ac:dyDescent="0.3">
      <c r="A357" t="s">
        <v>314</v>
      </c>
      <c r="B357" s="83">
        <v>44399</v>
      </c>
      <c r="C357">
        <v>98511.65</v>
      </c>
      <c r="D357">
        <v>65.200430400000002</v>
      </c>
    </row>
    <row r="358" spans="1:4" hidden="1" x14ac:dyDescent="0.3">
      <c r="A358" t="s">
        <v>314</v>
      </c>
      <c r="B358" s="83">
        <v>44400</v>
      </c>
      <c r="C358">
        <v>98445.17</v>
      </c>
      <c r="D358">
        <v>-68.822873549999997</v>
      </c>
    </row>
    <row r="359" spans="1:4" hidden="1" x14ac:dyDescent="0.3">
      <c r="A359" t="s">
        <v>314</v>
      </c>
      <c r="B359" s="83">
        <v>44403</v>
      </c>
      <c r="C359">
        <v>98338.44</v>
      </c>
      <c r="D359">
        <v>-59.6935632</v>
      </c>
    </row>
    <row r="360" spans="1:4" hidden="1" x14ac:dyDescent="0.3">
      <c r="A360" t="s">
        <v>314</v>
      </c>
      <c r="B360" s="83">
        <v>44404</v>
      </c>
      <c r="C360">
        <v>98293.759999999995</v>
      </c>
      <c r="D360">
        <v>-27.630102399999998</v>
      </c>
    </row>
    <row r="361" spans="1:4" hidden="1" x14ac:dyDescent="0.3">
      <c r="A361" t="s">
        <v>314</v>
      </c>
      <c r="B361" s="83">
        <v>44405</v>
      </c>
      <c r="C361">
        <v>98259.64</v>
      </c>
      <c r="D361">
        <v>-12.640756274999999</v>
      </c>
    </row>
    <row r="362" spans="1:4" hidden="1" x14ac:dyDescent="0.3">
      <c r="A362" t="s">
        <v>314</v>
      </c>
      <c r="B362" s="83">
        <v>44406</v>
      </c>
      <c r="C362">
        <v>98235.93</v>
      </c>
      <c r="D362">
        <v>2.63641105</v>
      </c>
    </row>
    <row r="363" spans="1:4" hidden="1" x14ac:dyDescent="0.3">
      <c r="A363" t="s">
        <v>314</v>
      </c>
      <c r="B363" s="83">
        <v>44407</v>
      </c>
      <c r="C363">
        <v>98122.22</v>
      </c>
      <c r="D363">
        <v>-127.8183375</v>
      </c>
    </row>
    <row r="364" spans="1:4" hidden="1" x14ac:dyDescent="0.3">
      <c r="A364" t="s">
        <v>314</v>
      </c>
      <c r="B364" s="83">
        <v>44410</v>
      </c>
      <c r="C364">
        <v>98069.48</v>
      </c>
      <c r="D364">
        <v>-39.550475800000001</v>
      </c>
    </row>
    <row r="365" spans="1:4" hidden="1" x14ac:dyDescent="0.3">
      <c r="A365" t="s">
        <v>314</v>
      </c>
      <c r="B365" s="83">
        <v>44411</v>
      </c>
      <c r="C365">
        <v>98096.67</v>
      </c>
      <c r="D365">
        <v>76.320442650000004</v>
      </c>
    </row>
    <row r="366" spans="1:4" hidden="1" x14ac:dyDescent="0.3">
      <c r="A366" t="s">
        <v>314</v>
      </c>
      <c r="B366" s="83">
        <v>44412</v>
      </c>
      <c r="C366">
        <v>98054.46</v>
      </c>
      <c r="D366">
        <v>-24.362583825000002</v>
      </c>
    </row>
    <row r="367" spans="1:4" hidden="1" x14ac:dyDescent="0.3">
      <c r="A367" t="s">
        <v>314</v>
      </c>
      <c r="B367" s="83">
        <v>44413</v>
      </c>
      <c r="C367">
        <v>97855.49</v>
      </c>
      <c r="D367">
        <v>-251.97350144999999</v>
      </c>
    </row>
    <row r="368" spans="1:4" hidden="1" x14ac:dyDescent="0.3">
      <c r="A368" t="s">
        <v>314</v>
      </c>
      <c r="B368" s="83">
        <v>44414</v>
      </c>
      <c r="C368">
        <v>97863.71</v>
      </c>
      <c r="D368">
        <v>43.581722399999997</v>
      </c>
    </row>
    <row r="369" spans="1:4" hidden="1" x14ac:dyDescent="0.3">
      <c r="A369" t="s">
        <v>314</v>
      </c>
      <c r="B369" s="83">
        <v>44417</v>
      </c>
      <c r="C369">
        <v>97910.89</v>
      </c>
      <c r="D369">
        <v>99.941551500000003</v>
      </c>
    </row>
    <row r="370" spans="1:4" hidden="1" x14ac:dyDescent="0.3">
      <c r="A370" t="s">
        <v>314</v>
      </c>
      <c r="B370" s="83">
        <v>44418</v>
      </c>
      <c r="C370">
        <v>97918.96</v>
      </c>
      <c r="D370">
        <v>77.861986125000001</v>
      </c>
    </row>
    <row r="371" spans="1:4" hidden="1" x14ac:dyDescent="0.3">
      <c r="A371" t="s">
        <v>314</v>
      </c>
      <c r="B371" s="83">
        <v>44419</v>
      </c>
      <c r="C371">
        <v>97936.71</v>
      </c>
      <c r="D371">
        <v>59.385091424999999</v>
      </c>
    </row>
    <row r="372" spans="1:4" hidden="1" x14ac:dyDescent="0.3">
      <c r="A372" t="s">
        <v>314</v>
      </c>
      <c r="B372" s="83">
        <v>44420</v>
      </c>
      <c r="C372">
        <v>97896.61</v>
      </c>
      <c r="D372">
        <v>-25.027332999999999</v>
      </c>
    </row>
    <row r="373" spans="1:4" x14ac:dyDescent="0.3">
      <c r="A373" t="s">
        <v>314</v>
      </c>
      <c r="B373" s="83">
        <v>44421</v>
      </c>
      <c r="C373"/>
      <c r="D373">
        <v>-66.0310056</v>
      </c>
    </row>
    <row r="374" spans="1:4" x14ac:dyDescent="0.3">
      <c r="A374" t="s">
        <v>314</v>
      </c>
      <c r="B374" s="83">
        <v>44424</v>
      </c>
      <c r="C374" s="68">
        <v>97779.57</v>
      </c>
      <c r="D374" s="143">
        <v>-37.3406217</v>
      </c>
    </row>
    <row r="375" spans="1:4" x14ac:dyDescent="0.3">
      <c r="A375" t="s">
        <v>314</v>
      </c>
      <c r="B375" s="83">
        <v>44425</v>
      </c>
      <c r="C375" s="68">
        <v>97873.76</v>
      </c>
      <c r="D375" s="143">
        <v>145.99272894999999</v>
      </c>
    </row>
    <row r="376" spans="1:4" x14ac:dyDescent="0.3">
      <c r="A376" t="s">
        <v>314</v>
      </c>
      <c r="B376" s="83">
        <v>44426</v>
      </c>
      <c r="C376" s="68">
        <v>97806.52</v>
      </c>
      <c r="D376" s="143">
        <v>-89.189244024999994</v>
      </c>
    </row>
    <row r="377" spans="1:4" x14ac:dyDescent="0.3">
      <c r="A377" t="s">
        <v>314</v>
      </c>
      <c r="B377" s="83">
        <v>44427</v>
      </c>
      <c r="C377" s="68">
        <v>97758.79</v>
      </c>
      <c r="D377" s="143">
        <v>-60.543926900000002</v>
      </c>
    </row>
    <row r="378" spans="1:4" x14ac:dyDescent="0.3">
      <c r="A378" t="s">
        <v>314</v>
      </c>
      <c r="B378" s="83">
        <v>44428</v>
      </c>
      <c r="C378" s="68">
        <v>97702.21</v>
      </c>
      <c r="D378" s="143">
        <v>-73.724233049999995</v>
      </c>
    </row>
    <row r="379" spans="1:4" x14ac:dyDescent="0.3">
      <c r="A379" t="s">
        <v>314</v>
      </c>
      <c r="B379" s="83">
        <v>44431</v>
      </c>
      <c r="C379" s="68">
        <v>97571.89</v>
      </c>
      <c r="D379" s="143">
        <v>-181.2890184</v>
      </c>
    </row>
    <row r="380" spans="1:4" x14ac:dyDescent="0.3">
      <c r="A380" t="s">
        <v>314</v>
      </c>
      <c r="B380" s="83">
        <v>44432</v>
      </c>
      <c r="C380" s="68">
        <v>97572.39</v>
      </c>
      <c r="D380" s="143">
        <v>9.7144591499999997</v>
      </c>
    </row>
    <row r="381" spans="1:4" x14ac:dyDescent="0.3">
      <c r="A381" t="s">
        <v>314</v>
      </c>
      <c r="B381" s="83">
        <v>44433</v>
      </c>
      <c r="C381" s="68">
        <v>97655.93</v>
      </c>
      <c r="D381" s="143">
        <v>130.61035140000001</v>
      </c>
    </row>
    <row r="382" spans="1:4" x14ac:dyDescent="0.3">
      <c r="A382" t="s">
        <v>314</v>
      </c>
      <c r="B382" s="83">
        <v>44434</v>
      </c>
      <c r="C382" s="68">
        <v>97693</v>
      </c>
      <c r="D382" s="143">
        <v>122.369641875</v>
      </c>
    </row>
    <row r="383" spans="1:4" x14ac:dyDescent="0.3">
      <c r="A383" t="s">
        <v>314</v>
      </c>
      <c r="B383" s="83">
        <v>44435</v>
      </c>
      <c r="C383" s="68">
        <v>97757.37</v>
      </c>
      <c r="D383" s="143">
        <v>110.2935616</v>
      </c>
    </row>
    <row r="384" spans="1:4" x14ac:dyDescent="0.3">
      <c r="A384" t="s">
        <v>314</v>
      </c>
      <c r="B384" s="83">
        <v>44438</v>
      </c>
      <c r="C384" s="68">
        <v>97757.4</v>
      </c>
      <c r="D384" s="143">
        <v>16.318392625000001</v>
      </c>
    </row>
    <row r="385" spans="1:4" x14ac:dyDescent="0.3">
      <c r="A385" t="s">
        <v>314</v>
      </c>
      <c r="B385" s="83">
        <v>44439</v>
      </c>
      <c r="C385" s="68">
        <v>97702.99</v>
      </c>
      <c r="D385" s="143">
        <v>-63.248093599999997</v>
      </c>
    </row>
    <row r="386" spans="1:4" x14ac:dyDescent="0.3">
      <c r="A386" t="s">
        <v>314</v>
      </c>
      <c r="B386" s="83">
        <v>44440</v>
      </c>
      <c r="C386" s="68">
        <v>97649.19</v>
      </c>
      <c r="D386" s="143">
        <v>-62.3907977</v>
      </c>
    </row>
    <row r="387" spans="1:4" x14ac:dyDescent="0.3">
      <c r="A387" t="s">
        <v>314</v>
      </c>
      <c r="B387" s="83">
        <v>44441</v>
      </c>
      <c r="C387" s="68">
        <v>97703.91</v>
      </c>
      <c r="D387" s="143">
        <v>96.247598699999998</v>
      </c>
    </row>
    <row r="388" spans="1:4" x14ac:dyDescent="0.3">
      <c r="A388" t="s">
        <v>314</v>
      </c>
      <c r="B388" s="83">
        <v>44442</v>
      </c>
      <c r="C388" s="68">
        <v>97794.21</v>
      </c>
      <c r="D388" s="143">
        <v>148.3220895</v>
      </c>
    </row>
    <row r="389" spans="1:4" x14ac:dyDescent="0.3">
      <c r="A389" t="s">
        <v>314</v>
      </c>
      <c r="B389" s="83">
        <v>44445</v>
      </c>
      <c r="C389" s="68">
        <v>97937.77</v>
      </c>
      <c r="D389" s="143">
        <v>226.547643075</v>
      </c>
    </row>
    <row r="390" spans="1:4" x14ac:dyDescent="0.3">
      <c r="A390" t="s">
        <v>314</v>
      </c>
      <c r="B390" s="83">
        <v>44447</v>
      </c>
      <c r="C390" s="68">
        <v>97991.11</v>
      </c>
      <c r="D390" s="143">
        <v>94.332886999999999</v>
      </c>
    </row>
    <row r="391" spans="1:4" x14ac:dyDescent="0.3">
      <c r="A391" t="s">
        <v>314</v>
      </c>
      <c r="B391" s="83">
        <v>44448</v>
      </c>
      <c r="C391" s="68">
        <v>97777.49</v>
      </c>
      <c r="D391" s="143">
        <v>-54.655506275</v>
      </c>
    </row>
    <row r="392" spans="1:4" x14ac:dyDescent="0.3">
      <c r="A392" t="s">
        <v>314</v>
      </c>
      <c r="B392" s="83">
        <v>44449</v>
      </c>
      <c r="C392" s="68">
        <v>97760.42</v>
      </c>
      <c r="D392" s="143">
        <v>5.5606690499999996</v>
      </c>
    </row>
    <row r="393" spans="1:4" x14ac:dyDescent="0.3">
      <c r="A393" t="s">
        <v>314</v>
      </c>
      <c r="B393" s="83">
        <v>44452</v>
      </c>
      <c r="C393" s="68">
        <v>97761.14</v>
      </c>
      <c r="D393" s="143">
        <v>31.880670299999998</v>
      </c>
    </row>
    <row r="394" spans="1:4" x14ac:dyDescent="0.3">
      <c r="A394" t="s">
        <v>314</v>
      </c>
      <c r="B394" s="83">
        <v>44453</v>
      </c>
      <c r="C394" s="68">
        <v>97981.02</v>
      </c>
      <c r="D394" s="143">
        <v>353.43100117500001</v>
      </c>
    </row>
    <row r="395" spans="1:4" x14ac:dyDescent="0.3">
      <c r="A395" t="s">
        <v>314</v>
      </c>
      <c r="B395" s="83">
        <v>44454</v>
      </c>
      <c r="C395" s="68">
        <v>98068.46</v>
      </c>
      <c r="D395" s="143">
        <v>159.07936362500001</v>
      </c>
    </row>
    <row r="396" spans="1:4" x14ac:dyDescent="0.3">
      <c r="A396" t="s">
        <v>314</v>
      </c>
      <c r="B396" s="83">
        <v>44455</v>
      </c>
      <c r="C396" s="68">
        <v>98059.33</v>
      </c>
      <c r="D396" s="143">
        <v>25.558126475000002</v>
      </c>
    </row>
    <row r="397" spans="1:4" x14ac:dyDescent="0.3">
      <c r="A397" t="s">
        <v>314</v>
      </c>
      <c r="B397" s="83">
        <v>44456</v>
      </c>
      <c r="C397" s="68">
        <v>98085.09</v>
      </c>
      <c r="D397" s="143">
        <v>76.828008124999997</v>
      </c>
    </row>
    <row r="398" spans="1:4" x14ac:dyDescent="0.3">
      <c r="A398" t="s">
        <v>314</v>
      </c>
      <c r="B398" s="83">
        <v>44459</v>
      </c>
      <c r="C398" s="68">
        <v>98058.83</v>
      </c>
      <c r="D398" s="143">
        <v>0.30892732499999997</v>
      </c>
    </row>
    <row r="399" spans="1:4" x14ac:dyDescent="0.3">
      <c r="A399" t="s">
        <v>314</v>
      </c>
      <c r="B399" s="83">
        <v>44460</v>
      </c>
      <c r="C399" s="68">
        <v>98058.69</v>
      </c>
      <c r="D399" s="143">
        <v>38.722334474999997</v>
      </c>
    </row>
    <row r="400" spans="1:4" x14ac:dyDescent="0.3">
      <c r="A400" t="s">
        <v>314</v>
      </c>
      <c r="B400" s="83">
        <v>44461</v>
      </c>
      <c r="C400" s="68">
        <v>97981.61</v>
      </c>
      <c r="D400" s="143">
        <v>-74.580225624999997</v>
      </c>
    </row>
    <row r="401" spans="1:4" x14ac:dyDescent="0.3">
      <c r="A401" t="s">
        <v>314</v>
      </c>
      <c r="B401" s="83">
        <v>44462</v>
      </c>
      <c r="C401" s="68">
        <v>98016.04</v>
      </c>
      <c r="D401" s="143">
        <v>89.597135050000006</v>
      </c>
    </row>
    <row r="402" spans="1:4" x14ac:dyDescent="0.3">
      <c r="A402" t="s">
        <v>314</v>
      </c>
      <c r="B402" s="83">
        <v>44463</v>
      </c>
      <c r="C402" s="68">
        <v>98143.69</v>
      </c>
      <c r="D402" s="143">
        <v>221.8136725</v>
      </c>
    </row>
    <row r="403" spans="1:4" x14ac:dyDescent="0.3">
      <c r="A403" t="s">
        <v>314</v>
      </c>
      <c r="B403" s="83">
        <v>44466</v>
      </c>
      <c r="C403" s="68">
        <v>97991.38</v>
      </c>
      <c r="D403" s="143">
        <v>-60.249500099999999</v>
      </c>
    </row>
    <row r="404" spans="1:4" x14ac:dyDescent="0.3">
      <c r="A404" t="s">
        <v>314</v>
      </c>
      <c r="B404" s="83">
        <v>44467</v>
      </c>
      <c r="C404" s="68">
        <v>98000.33</v>
      </c>
      <c r="D404" s="143">
        <v>63.248345899999997</v>
      </c>
    </row>
    <row r="405" spans="1:4" x14ac:dyDescent="0.3">
      <c r="A405" t="s">
        <v>314</v>
      </c>
      <c r="B405" s="83">
        <v>44468</v>
      </c>
      <c r="C405" s="68">
        <v>97950.8</v>
      </c>
      <c r="D405" s="143">
        <v>-23.183387100000001</v>
      </c>
    </row>
    <row r="406" spans="1:4" x14ac:dyDescent="0.3">
      <c r="A406" t="s">
        <v>314</v>
      </c>
      <c r="B406" s="83">
        <v>44469</v>
      </c>
      <c r="C406" s="68">
        <v>97885.25</v>
      </c>
      <c r="D406" s="143">
        <v>-46.955571999999997</v>
      </c>
    </row>
    <row r="407" spans="1:4" x14ac:dyDescent="0.3">
      <c r="A407" t="s">
        <v>314</v>
      </c>
      <c r="B407" s="83">
        <v>44470</v>
      </c>
      <c r="C407" s="68">
        <v>97894.81</v>
      </c>
      <c r="D407" s="143">
        <v>64.039329899999998</v>
      </c>
    </row>
    <row r="408" spans="1:4" x14ac:dyDescent="0.3">
      <c r="A408" t="s">
        <v>314</v>
      </c>
      <c r="B408" s="83">
        <v>44473</v>
      </c>
      <c r="C408" s="68">
        <v>97830.39</v>
      </c>
      <c r="D408" s="143">
        <v>-45.219269875000002</v>
      </c>
    </row>
    <row r="409" spans="1:4" x14ac:dyDescent="0.3">
      <c r="A409" t="s">
        <v>314</v>
      </c>
      <c r="B409" s="83">
        <v>44474</v>
      </c>
      <c r="C409" s="68">
        <v>97872.99</v>
      </c>
      <c r="D409" s="143">
        <v>113.1806947</v>
      </c>
    </row>
    <row r="410" spans="1:4" x14ac:dyDescent="0.3">
      <c r="A410" t="s">
        <v>314</v>
      </c>
      <c r="B410" s="83">
        <v>44475</v>
      </c>
      <c r="C410" s="68">
        <v>97890.880000000005</v>
      </c>
      <c r="D410" s="143">
        <v>76.599281774999994</v>
      </c>
    </row>
    <row r="411" spans="1:4" x14ac:dyDescent="0.3">
      <c r="A411" t="s">
        <v>314</v>
      </c>
      <c r="B411" s="83">
        <v>44476</v>
      </c>
      <c r="C411" s="68">
        <v>97908.7</v>
      </c>
      <c r="D411" s="143">
        <v>76.495588400000003</v>
      </c>
    </row>
    <row r="412" spans="1:4" x14ac:dyDescent="0.3">
      <c r="A412" t="s">
        <v>314</v>
      </c>
      <c r="B412" s="83">
        <v>44477</v>
      </c>
      <c r="C412" s="68">
        <v>97966.83</v>
      </c>
      <c r="D412" s="143">
        <v>55.04239475</v>
      </c>
    </row>
    <row r="413" spans="1:4" x14ac:dyDescent="0.3">
      <c r="A413" t="s">
        <v>314</v>
      </c>
      <c r="B413" s="83">
        <v>44480</v>
      </c>
      <c r="C413" s="68">
        <v>97903.94</v>
      </c>
      <c r="D413" s="143">
        <v>-47.861177949999998</v>
      </c>
    </row>
    <row r="414" spans="1:4" x14ac:dyDescent="0.3">
      <c r="A414" t="s">
        <v>314</v>
      </c>
      <c r="B414" s="83">
        <v>44482</v>
      </c>
      <c r="C414" s="68">
        <v>97857.79</v>
      </c>
      <c r="D414" s="143">
        <v>-23.097614100000001</v>
      </c>
    </row>
    <row r="415" spans="1:4" x14ac:dyDescent="0.3">
      <c r="A415" t="s">
        <v>314</v>
      </c>
      <c r="B415" s="83">
        <v>44483</v>
      </c>
      <c r="C415" s="68">
        <v>97685.42</v>
      </c>
      <c r="D415" s="143">
        <v>-210.651234625</v>
      </c>
    </row>
    <row r="416" spans="1:4" x14ac:dyDescent="0.3">
      <c r="A416" t="s">
        <v>314</v>
      </c>
      <c r="B416" s="83">
        <v>44484</v>
      </c>
      <c r="C416" s="68">
        <v>97491.96</v>
      </c>
      <c r="D416" s="143">
        <v>-242.22655750000001</v>
      </c>
    </row>
    <row r="417" spans="1:4" x14ac:dyDescent="0.3">
      <c r="A417" t="s">
        <v>314</v>
      </c>
      <c r="B417" s="83">
        <v>44487</v>
      </c>
      <c r="C417" s="68">
        <v>97566.29</v>
      </c>
      <c r="D417" s="143">
        <v>126.6408983</v>
      </c>
    </row>
    <row r="418" spans="1:4" x14ac:dyDescent="0.3">
      <c r="A418" t="s">
        <v>314</v>
      </c>
      <c r="B418" s="83">
        <v>44488</v>
      </c>
      <c r="C418" s="68">
        <v>97469.07</v>
      </c>
      <c r="D418" s="143">
        <v>-128.18715800000001</v>
      </c>
    </row>
    <row r="419" spans="1:4" x14ac:dyDescent="0.3">
      <c r="A419" t="s">
        <v>314</v>
      </c>
      <c r="B419" s="83">
        <v>44489</v>
      </c>
      <c r="C419" s="68">
        <v>97434.82</v>
      </c>
      <c r="D419" s="143">
        <v>-34.839767649999999</v>
      </c>
    </row>
    <row r="420" spans="1:4" x14ac:dyDescent="0.3">
      <c r="A420" t="s">
        <v>314</v>
      </c>
      <c r="B420" s="83">
        <v>44490</v>
      </c>
      <c r="C420" s="68">
        <v>97148.65</v>
      </c>
      <c r="D420" s="143">
        <v>-409.51780672500001</v>
      </c>
    </row>
    <row r="421" spans="1:4" x14ac:dyDescent="0.3">
      <c r="A421" t="s">
        <v>314</v>
      </c>
      <c r="B421" s="83">
        <v>44491</v>
      </c>
      <c r="C421" s="68">
        <v>96973</v>
      </c>
      <c r="D421" s="143">
        <v>-245.19512972499999</v>
      </c>
    </row>
    <row r="422" spans="1:4" x14ac:dyDescent="0.3">
      <c r="A422" t="s">
        <v>314</v>
      </c>
      <c r="B422" s="83">
        <v>44494</v>
      </c>
      <c r="C422" s="68">
        <v>96665.38</v>
      </c>
      <c r="D422" s="143">
        <v>-442.10330520000002</v>
      </c>
    </row>
    <row r="423" spans="1:4" x14ac:dyDescent="0.3">
      <c r="A423" t="s">
        <v>314</v>
      </c>
      <c r="B423" s="83">
        <v>44495</v>
      </c>
      <c r="C423" s="68">
        <v>96815.49</v>
      </c>
      <c r="D423" s="143">
        <v>239.79459445000001</v>
      </c>
    </row>
    <row r="424" spans="1:4" x14ac:dyDescent="0.3">
      <c r="A424" t="s">
        <v>314</v>
      </c>
      <c r="B424" s="83">
        <v>44496</v>
      </c>
      <c r="C424" s="68">
        <v>96638.57</v>
      </c>
      <c r="D424" s="143">
        <v>-58.937607749999998</v>
      </c>
    </row>
    <row r="425" spans="1:4" x14ac:dyDescent="0.3">
      <c r="A425" t="s">
        <v>314</v>
      </c>
      <c r="B425" s="83">
        <v>44497</v>
      </c>
      <c r="C425" s="68">
        <v>96332.87</v>
      </c>
      <c r="D425" s="143">
        <v>-416.6142552</v>
      </c>
    </row>
    <row r="426" spans="1:4" x14ac:dyDescent="0.3">
      <c r="A426" t="s">
        <v>314</v>
      </c>
      <c r="B426" s="83">
        <v>44498</v>
      </c>
      <c r="C426" s="68">
        <v>96576.48</v>
      </c>
      <c r="D426" s="143">
        <v>395.49791429999999</v>
      </c>
    </row>
    <row r="427" spans="1:4" x14ac:dyDescent="0.3">
      <c r="A427" t="s">
        <v>314</v>
      </c>
      <c r="B427" s="83">
        <v>44501</v>
      </c>
      <c r="C427" s="68">
        <v>96318.33</v>
      </c>
      <c r="D427" s="143">
        <v>-353.87140747500001</v>
      </c>
    </row>
    <row r="428" spans="1:4" x14ac:dyDescent="0.3">
      <c r="A428" t="s">
        <v>314</v>
      </c>
      <c r="B428" s="83">
        <v>44503</v>
      </c>
      <c r="C428" s="68">
        <v>96401.25</v>
      </c>
      <c r="D428" s="143">
        <v>155.54747652500001</v>
      </c>
    </row>
    <row r="429" spans="1:4" x14ac:dyDescent="0.3">
      <c r="A429" t="s">
        <v>314</v>
      </c>
      <c r="B429" s="83">
        <v>44504</v>
      </c>
      <c r="C429" s="68">
        <v>96304.85</v>
      </c>
      <c r="D429" s="143">
        <v>-112.3783932</v>
      </c>
    </row>
    <row r="430" spans="1:4" x14ac:dyDescent="0.3">
      <c r="A430" t="s">
        <v>314</v>
      </c>
      <c r="B430" s="83">
        <v>44505</v>
      </c>
      <c r="C430" s="68">
        <v>96401.54</v>
      </c>
      <c r="D430" s="143">
        <v>176.2423125</v>
      </c>
    </row>
    <row r="431" spans="1:4" x14ac:dyDescent="0.3">
      <c r="A431" t="s">
        <v>314</v>
      </c>
      <c r="B431" s="83">
        <v>44508</v>
      </c>
      <c r="C431" s="68">
        <v>96476.33</v>
      </c>
      <c r="D431" s="143">
        <v>143.776655175</v>
      </c>
    </row>
    <row r="432" spans="1:4" x14ac:dyDescent="0.3">
      <c r="A432" t="s">
        <v>314</v>
      </c>
      <c r="B432" s="83">
        <v>44509</v>
      </c>
      <c r="C432" s="68">
        <v>96529.45</v>
      </c>
      <c r="D432" s="143">
        <v>111.3825069</v>
      </c>
    </row>
    <row r="433" spans="1:4" x14ac:dyDescent="0.3">
      <c r="A433" t="s">
        <v>314</v>
      </c>
      <c r="B433" s="83">
        <v>44510</v>
      </c>
      <c r="C433" s="68">
        <v>96673.75</v>
      </c>
      <c r="D433" s="143">
        <v>515.419221075</v>
      </c>
    </row>
    <row r="434" spans="1:4" x14ac:dyDescent="0.3">
      <c r="A434" t="s">
        <v>314</v>
      </c>
      <c r="B434" s="83">
        <v>44511</v>
      </c>
      <c r="C434" s="68">
        <v>96873.45</v>
      </c>
      <c r="D434" s="143">
        <v>347.78374680000002</v>
      </c>
    </row>
    <row r="435" spans="1:4" x14ac:dyDescent="0.3">
      <c r="A435" t="s">
        <v>314</v>
      </c>
      <c r="B435" s="83">
        <v>44512</v>
      </c>
      <c r="C435" s="68">
        <v>96973.71</v>
      </c>
      <c r="D435" s="143">
        <v>198.74336815000001</v>
      </c>
    </row>
    <row r="436" spans="1:4" x14ac:dyDescent="0.3">
      <c r="A436" t="s">
        <v>314</v>
      </c>
      <c r="B436" s="83">
        <v>44516</v>
      </c>
      <c r="C436" s="68">
        <v>97024.33</v>
      </c>
      <c r="D436" s="143">
        <v>123.93616717499999</v>
      </c>
    </row>
    <row r="437" spans="1:4" x14ac:dyDescent="0.3">
      <c r="A437" t="s">
        <v>314</v>
      </c>
      <c r="B437" s="83">
        <v>44517</v>
      </c>
      <c r="C437" s="68">
        <v>96977.31</v>
      </c>
      <c r="D437" s="143">
        <v>-45.069655050000001</v>
      </c>
    </row>
    <row r="438" spans="1:4" x14ac:dyDescent="0.3">
      <c r="A438" t="s">
        <v>314</v>
      </c>
      <c r="B438" s="83">
        <v>44518</v>
      </c>
      <c r="C438" s="68">
        <v>96924.12</v>
      </c>
      <c r="D438" s="143">
        <v>-54.2023796</v>
      </c>
    </row>
    <row r="439" spans="1:4" x14ac:dyDescent="0.3">
      <c r="A439" t="s">
        <v>314</v>
      </c>
      <c r="B439" s="83">
        <v>44519</v>
      </c>
      <c r="C439" s="68">
        <v>96933.46</v>
      </c>
      <c r="D439" s="143">
        <v>39.943876224999997</v>
      </c>
    </row>
    <row r="440" spans="1:4" x14ac:dyDescent="0.3">
      <c r="A440" t="s">
        <v>314</v>
      </c>
      <c r="B440" s="83">
        <v>44522</v>
      </c>
      <c r="C440" s="68">
        <v>96827.06</v>
      </c>
      <c r="D440" s="143">
        <v>-134.78132802499999</v>
      </c>
    </row>
    <row r="441" spans="1:4" x14ac:dyDescent="0.3">
      <c r="A441" t="s">
        <v>314</v>
      </c>
      <c r="B441" s="83">
        <v>44523</v>
      </c>
      <c r="C441" s="68">
        <v>96695.32</v>
      </c>
      <c r="D441" s="143">
        <v>-172.86529920000001</v>
      </c>
    </row>
    <row r="442" spans="1:4" x14ac:dyDescent="0.3">
      <c r="A442" t="s">
        <v>314</v>
      </c>
      <c r="B442" s="83">
        <v>44524</v>
      </c>
      <c r="C442" s="68">
        <v>96854.080000000002</v>
      </c>
      <c r="D442" s="143">
        <v>265.31926120000003</v>
      </c>
    </row>
    <row r="443" spans="1:4" x14ac:dyDescent="0.3">
      <c r="A443" t="s">
        <v>314</v>
      </c>
      <c r="B443" s="83">
        <v>44525</v>
      </c>
      <c r="C443" s="68">
        <v>96797.42</v>
      </c>
      <c r="D443" s="143">
        <v>-59.507545049999997</v>
      </c>
    </row>
    <row r="444" spans="1:4" x14ac:dyDescent="0.3">
      <c r="A444" t="s">
        <v>314</v>
      </c>
      <c r="B444" s="83">
        <v>44526</v>
      </c>
      <c r="C444" s="68">
        <v>96861.29</v>
      </c>
      <c r="D444" s="143">
        <v>171.77981589999999</v>
      </c>
    </row>
    <row r="445" spans="1:4" x14ac:dyDescent="0.3">
      <c r="A445" t="s">
        <v>314</v>
      </c>
      <c r="B445" s="83">
        <v>44529</v>
      </c>
      <c r="C445" s="68">
        <v>96904.85</v>
      </c>
      <c r="D445" s="143">
        <v>97.8590418</v>
      </c>
    </row>
    <row r="446" spans="1:4" x14ac:dyDescent="0.3">
      <c r="A446" t="s">
        <v>314</v>
      </c>
      <c r="B446" s="83">
        <v>44530</v>
      </c>
      <c r="C446" s="68">
        <v>96836.22</v>
      </c>
      <c r="D446" s="143">
        <v>-71.533918499999999</v>
      </c>
    </row>
    <row r="447" spans="1:4" x14ac:dyDescent="0.3">
      <c r="A447" t="s">
        <v>314</v>
      </c>
      <c r="B447" s="83">
        <v>44531</v>
      </c>
      <c r="C447" s="68">
        <v>96794.81</v>
      </c>
      <c r="D447" s="143">
        <v>-30.701154075000002</v>
      </c>
    </row>
    <row r="448" spans="1:4" x14ac:dyDescent="0.3">
      <c r="A448" t="s">
        <v>314</v>
      </c>
      <c r="B448" s="83">
        <v>44532</v>
      </c>
      <c r="C448" s="68">
        <v>96780.08</v>
      </c>
      <c r="D448" s="143">
        <v>9.8705791000000005</v>
      </c>
    </row>
    <row r="449" spans="1:4" x14ac:dyDescent="0.3">
      <c r="A449" t="s">
        <v>314</v>
      </c>
      <c r="B449" s="83">
        <v>44533</v>
      </c>
      <c r="C449" s="68">
        <v>96843.17</v>
      </c>
      <c r="D449" s="143">
        <v>127.701616925</v>
      </c>
    </row>
    <row r="450" spans="1:4" x14ac:dyDescent="0.3">
      <c r="A450" t="s">
        <v>314</v>
      </c>
      <c r="B450" s="83">
        <v>44536</v>
      </c>
      <c r="C450" s="68">
        <v>96815.87</v>
      </c>
      <c r="D450" s="143">
        <v>-9.2290448250000008</v>
      </c>
    </row>
    <row r="451" spans="1:4" x14ac:dyDescent="0.3">
      <c r="A451" t="s">
        <v>314</v>
      </c>
      <c r="B451" s="83">
        <v>44537</v>
      </c>
      <c r="C451" s="68">
        <v>96770.01</v>
      </c>
      <c r="D451" s="143">
        <v>-37.4202479</v>
      </c>
    </row>
    <row r="452" spans="1:4" x14ac:dyDescent="0.3">
      <c r="A452" t="s">
        <v>314</v>
      </c>
      <c r="B452" s="83">
        <v>44538</v>
      </c>
      <c r="C452" s="68">
        <v>96756.61</v>
      </c>
      <c r="D452" s="143">
        <v>11.741521949999999</v>
      </c>
    </row>
    <row r="453" spans="1:4" x14ac:dyDescent="0.3">
      <c r="A453" t="s">
        <v>314</v>
      </c>
      <c r="B453" s="83">
        <v>44539</v>
      </c>
      <c r="C453" s="68">
        <v>96624.25</v>
      </c>
      <c r="D453" s="143">
        <v>-168.59389160000001</v>
      </c>
    </row>
    <row r="454" spans="1:4" x14ac:dyDescent="0.3">
      <c r="A454" t="s">
        <v>314</v>
      </c>
      <c r="B454" s="83">
        <v>44540</v>
      </c>
      <c r="C454" s="68">
        <v>96606.14</v>
      </c>
      <c r="D454" s="143">
        <v>-165.5517759</v>
      </c>
    </row>
    <row r="455" spans="1:4" x14ac:dyDescent="0.3">
      <c r="A455" t="s">
        <v>314</v>
      </c>
      <c r="B455" s="83">
        <v>44543</v>
      </c>
      <c r="C455" s="68">
        <v>96607.07</v>
      </c>
      <c r="D455" s="143">
        <v>16.677929450000001</v>
      </c>
    </row>
    <row r="456" spans="1:4" x14ac:dyDescent="0.3">
      <c r="A456" t="s">
        <v>314</v>
      </c>
      <c r="B456" s="83">
        <v>44544</v>
      </c>
      <c r="C456" s="68">
        <v>96497.61</v>
      </c>
      <c r="D456" s="143">
        <v>-151.18609025000001</v>
      </c>
    </row>
    <row r="457" spans="1:4" x14ac:dyDescent="0.3">
      <c r="A457" t="s">
        <v>314</v>
      </c>
      <c r="B457" s="83">
        <v>44545</v>
      </c>
      <c r="C457" s="68">
        <v>96511.86</v>
      </c>
      <c r="D457" s="143">
        <v>36.849059850000003</v>
      </c>
    </row>
    <row r="458" spans="1:4" x14ac:dyDescent="0.3">
      <c r="A458" t="s">
        <v>314</v>
      </c>
      <c r="B458" s="83">
        <v>44546</v>
      </c>
      <c r="C458" s="68">
        <v>96441.39</v>
      </c>
      <c r="D458" s="143">
        <v>-114.0748627</v>
      </c>
    </row>
    <row r="459" spans="1:4" x14ac:dyDescent="0.3">
      <c r="A459" t="s">
        <v>314</v>
      </c>
      <c r="B459" s="83">
        <v>44547</v>
      </c>
      <c r="C459" s="68">
        <v>96402.2</v>
      </c>
      <c r="D459" s="143">
        <v>-66.811726800000002</v>
      </c>
    </row>
    <row r="460" spans="1:4" x14ac:dyDescent="0.3">
      <c r="A460" t="s">
        <v>314</v>
      </c>
      <c r="B460" s="83">
        <v>44550</v>
      </c>
      <c r="C460" s="68">
        <v>96292.33</v>
      </c>
      <c r="D460" s="143">
        <v>-174.0726325</v>
      </c>
    </row>
    <row r="461" spans="1:4" x14ac:dyDescent="0.3">
      <c r="A461" t="s">
        <v>314</v>
      </c>
      <c r="B461" s="83">
        <v>44551</v>
      </c>
      <c r="C461" s="68">
        <v>96320.3</v>
      </c>
      <c r="D461" s="143">
        <v>35.494071599999998</v>
      </c>
    </row>
    <row r="462" spans="1:4" x14ac:dyDescent="0.3">
      <c r="A462" t="s">
        <v>314</v>
      </c>
      <c r="B462" s="83">
        <v>44552</v>
      </c>
      <c r="C462" s="68">
        <v>96324.67</v>
      </c>
      <c r="D462" s="143">
        <v>-0.41072265000000002</v>
      </c>
    </row>
    <row r="463" spans="1:4" x14ac:dyDescent="0.3">
      <c r="A463" t="s">
        <v>314</v>
      </c>
      <c r="B463" s="83">
        <v>44553</v>
      </c>
      <c r="C463" s="68">
        <v>96417.01</v>
      </c>
      <c r="D463" s="143">
        <v>133.44870499999999</v>
      </c>
    </row>
    <row r="464" spans="1:4" x14ac:dyDescent="0.3">
      <c r="A464" t="s">
        <v>314</v>
      </c>
      <c r="B464" s="83">
        <v>44557</v>
      </c>
      <c r="C464" s="68">
        <v>96466.240000000005</v>
      </c>
      <c r="D464" s="143">
        <v>25.304947200000001</v>
      </c>
    </row>
    <row r="465" spans="1:4" x14ac:dyDescent="0.3">
      <c r="A465" t="s">
        <v>314</v>
      </c>
      <c r="B465" s="83">
        <v>44558</v>
      </c>
      <c r="C465" s="68">
        <v>96539.75</v>
      </c>
      <c r="D465" s="143">
        <v>100.232758</v>
      </c>
    </row>
    <row r="466" spans="1:4" x14ac:dyDescent="0.3">
      <c r="A466" t="s">
        <v>314</v>
      </c>
      <c r="B466" s="83">
        <v>44559</v>
      </c>
      <c r="C466" s="68">
        <v>96566.86</v>
      </c>
      <c r="D466" s="143">
        <v>29.805305700000002</v>
      </c>
    </row>
    <row r="467" spans="1:4" x14ac:dyDescent="0.3">
      <c r="A467" t="s">
        <v>314</v>
      </c>
      <c r="B467" s="83">
        <v>44560</v>
      </c>
      <c r="C467" s="68">
        <v>96662.27</v>
      </c>
      <c r="D467" s="143">
        <v>133.86291539999999</v>
      </c>
    </row>
    <row r="468" spans="1:4" x14ac:dyDescent="0.3">
      <c r="A468" t="s">
        <v>314</v>
      </c>
      <c r="B468" s="83">
        <v>44564</v>
      </c>
      <c r="C468" s="68">
        <v>96816.91</v>
      </c>
      <c r="D468" s="143">
        <v>212.402495625</v>
      </c>
    </row>
    <row r="469" spans="1:4" x14ac:dyDescent="0.3">
      <c r="A469" t="s">
        <v>314</v>
      </c>
      <c r="B469" s="83">
        <v>44565</v>
      </c>
      <c r="C469" s="68">
        <v>96797.84</v>
      </c>
      <c r="D469" s="143">
        <v>-40.647102349999997</v>
      </c>
    </row>
    <row r="470" spans="1:4" x14ac:dyDescent="0.3">
      <c r="A470" t="s">
        <v>314</v>
      </c>
      <c r="B470" s="83">
        <v>44566</v>
      </c>
      <c r="C470" s="68">
        <v>96807.15</v>
      </c>
      <c r="D470" s="143">
        <v>2.6230989</v>
      </c>
    </row>
    <row r="471" spans="1:4" x14ac:dyDescent="0.3">
      <c r="A471" t="s">
        <v>314</v>
      </c>
      <c r="B471" s="83">
        <v>44567</v>
      </c>
      <c r="C471" s="68">
        <v>96860.92</v>
      </c>
      <c r="D471" s="143">
        <v>70.430834474999997</v>
      </c>
    </row>
    <row r="472" spans="1:4" x14ac:dyDescent="0.3">
      <c r="A472" t="s">
        <v>314</v>
      </c>
      <c r="B472" s="83">
        <v>44568</v>
      </c>
      <c r="C472" s="68">
        <v>96826.22</v>
      </c>
      <c r="D472" s="143">
        <v>-64.559877025000006</v>
      </c>
    </row>
    <row r="473" spans="1:4" x14ac:dyDescent="0.3">
      <c r="A473" t="s">
        <v>314</v>
      </c>
      <c r="B473" s="83">
        <v>44571</v>
      </c>
      <c r="C473" s="68">
        <v>97038.6</v>
      </c>
      <c r="D473" s="143">
        <v>312.5226285</v>
      </c>
    </row>
    <row r="474" spans="1:4" x14ac:dyDescent="0.3">
      <c r="A474" t="s">
        <v>314</v>
      </c>
      <c r="B474" s="83">
        <v>44572</v>
      </c>
      <c r="C474" s="68">
        <v>96965.42</v>
      </c>
      <c r="D474" s="143">
        <v>10.412076949999999</v>
      </c>
    </row>
    <row r="475" spans="1:4" x14ac:dyDescent="0.3">
      <c r="A475" t="s">
        <v>314</v>
      </c>
      <c r="B475" s="83">
        <v>44573</v>
      </c>
      <c r="C475" s="68">
        <v>96899.07</v>
      </c>
      <c r="D475" s="143">
        <v>-106.0973496</v>
      </c>
    </row>
    <row r="476" spans="1:4" x14ac:dyDescent="0.3">
      <c r="A476" t="s">
        <v>314</v>
      </c>
      <c r="B476" s="83">
        <v>44574</v>
      </c>
      <c r="C476" s="68">
        <v>96812.69</v>
      </c>
      <c r="D476" s="143">
        <v>-136.77285162499999</v>
      </c>
    </row>
    <row r="477" spans="1:4" x14ac:dyDescent="0.3">
      <c r="A477" t="s">
        <v>314</v>
      </c>
      <c r="B477" s="83">
        <v>44575</v>
      </c>
      <c r="C477" s="68">
        <v>96812.800000000003</v>
      </c>
      <c r="D477" s="143">
        <v>-4.2979722750000002</v>
      </c>
    </row>
    <row r="478" spans="1:4" x14ac:dyDescent="0.3">
      <c r="A478" t="s">
        <v>314</v>
      </c>
      <c r="B478" s="83">
        <v>44578</v>
      </c>
      <c r="C478" s="68">
        <v>96702.81</v>
      </c>
      <c r="D478" s="143">
        <v>-173.01353080000001</v>
      </c>
    </row>
    <row r="479" spans="1:4" x14ac:dyDescent="0.3">
      <c r="A479" t="s">
        <v>314</v>
      </c>
      <c r="B479" s="83">
        <v>44579</v>
      </c>
      <c r="C479" s="68">
        <v>96667.86</v>
      </c>
      <c r="D479" s="143">
        <v>-73.211346000000006</v>
      </c>
    </row>
    <row r="480" spans="1:4" x14ac:dyDescent="0.3">
      <c r="A480" t="s">
        <v>314</v>
      </c>
      <c r="B480" s="83">
        <v>44580</v>
      </c>
      <c r="C480" s="68">
        <v>96732</v>
      </c>
      <c r="D480" s="143">
        <v>78.446581249999994</v>
      </c>
    </row>
    <row r="481" spans="1:4" x14ac:dyDescent="0.3">
      <c r="A481" t="s">
        <v>314</v>
      </c>
      <c r="B481" s="83">
        <v>44581</v>
      </c>
      <c r="C481" s="68">
        <v>96677.440000000002</v>
      </c>
      <c r="D481" s="143">
        <v>-103.28075405</v>
      </c>
    </row>
    <row r="482" spans="1:4" x14ac:dyDescent="0.3">
      <c r="A482" t="s">
        <v>314</v>
      </c>
      <c r="B482" s="83">
        <v>44582</v>
      </c>
      <c r="C482" s="68">
        <v>96275.03</v>
      </c>
      <c r="D482" s="143">
        <v>-635.97250919999999</v>
      </c>
    </row>
    <row r="483" spans="1:4" x14ac:dyDescent="0.3">
      <c r="A483" t="s">
        <v>314</v>
      </c>
      <c r="B483" s="83">
        <v>44585</v>
      </c>
      <c r="C483" s="68">
        <v>96456.28</v>
      </c>
      <c r="D483" s="143">
        <v>257.929439</v>
      </c>
    </row>
    <row r="484" spans="1:4" x14ac:dyDescent="0.3">
      <c r="A484" t="s">
        <v>314</v>
      </c>
      <c r="B484" s="83">
        <v>44586</v>
      </c>
      <c r="C484" s="68">
        <v>96436.28</v>
      </c>
      <c r="D484" s="143">
        <v>-50.371338000000002</v>
      </c>
    </row>
    <row r="485" spans="1:4" x14ac:dyDescent="0.3">
      <c r="A485" t="s">
        <v>314</v>
      </c>
      <c r="B485" s="83">
        <v>44587</v>
      </c>
      <c r="C485" s="68">
        <v>96535.73</v>
      </c>
      <c r="D485" s="143">
        <v>132.65142742500001</v>
      </c>
    </row>
    <row r="486" spans="1:4" x14ac:dyDescent="0.3">
      <c r="A486" t="s">
        <v>314</v>
      </c>
      <c r="B486" s="83">
        <v>44588</v>
      </c>
      <c r="C486" s="68">
        <v>96521.05</v>
      </c>
      <c r="D486" s="143">
        <v>-42.269935400000001</v>
      </c>
    </row>
    <row r="487" spans="1:4" x14ac:dyDescent="0.3">
      <c r="A487" t="s">
        <v>314</v>
      </c>
      <c r="B487" s="83">
        <v>44589</v>
      </c>
      <c r="C487" s="68">
        <v>96668.26</v>
      </c>
      <c r="D487" s="143">
        <v>212.9570846</v>
      </c>
    </row>
    <row r="488" spans="1:4" x14ac:dyDescent="0.3">
      <c r="A488" t="s">
        <v>314</v>
      </c>
      <c r="B488" s="83">
        <v>44592</v>
      </c>
      <c r="C488" s="68">
        <v>96556.41</v>
      </c>
      <c r="D488" s="143">
        <v>-184.17354075</v>
      </c>
    </row>
    <row r="489" spans="1:4" x14ac:dyDescent="0.3">
      <c r="A489" t="s">
        <v>314</v>
      </c>
      <c r="B489" s="83">
        <v>44593</v>
      </c>
      <c r="C489" s="68">
        <v>96538.21</v>
      </c>
      <c r="D489" s="143">
        <v>-40.753996000000001</v>
      </c>
    </row>
    <row r="490" spans="1:4" x14ac:dyDescent="0.3">
      <c r="A490" t="s">
        <v>314</v>
      </c>
      <c r="B490" s="83">
        <v>44594</v>
      </c>
      <c r="C490" s="68">
        <v>96487.37</v>
      </c>
      <c r="D490" s="143">
        <v>-90.876248125000004</v>
      </c>
    </row>
    <row r="491" spans="1:4" x14ac:dyDescent="0.3">
      <c r="A491" t="s">
        <v>314</v>
      </c>
      <c r="B491" s="83">
        <v>44595</v>
      </c>
      <c r="C491" s="68">
        <v>96560.59</v>
      </c>
      <c r="D491" s="143">
        <v>99.804327150000006</v>
      </c>
    </row>
    <row r="492" spans="1:4" x14ac:dyDescent="0.3">
      <c r="A492" t="s">
        <v>314</v>
      </c>
      <c r="B492" s="83">
        <v>44596</v>
      </c>
      <c r="C492" s="68">
        <v>96628.49</v>
      </c>
      <c r="D492" s="143">
        <v>83.353182200000006</v>
      </c>
    </row>
    <row r="493" spans="1:4" x14ac:dyDescent="0.3">
      <c r="A493" t="s">
        <v>314</v>
      </c>
      <c r="B493" s="83">
        <v>44599</v>
      </c>
      <c r="C493" s="68">
        <v>96663.13</v>
      </c>
      <c r="D493" s="143">
        <v>32.27167515</v>
      </c>
    </row>
    <row r="494" spans="1:4" x14ac:dyDescent="0.3">
      <c r="A494" t="s">
        <v>314</v>
      </c>
      <c r="B494" s="83">
        <v>44600</v>
      </c>
      <c r="C494" s="68">
        <v>96693</v>
      </c>
      <c r="D494" s="143">
        <v>25.181882824999999</v>
      </c>
    </row>
    <row r="495" spans="1:4" x14ac:dyDescent="0.3">
      <c r="A495" t="s">
        <v>314</v>
      </c>
      <c r="B495" s="83">
        <v>44601</v>
      </c>
      <c r="C495" s="68">
        <v>96575.92</v>
      </c>
      <c r="D495" s="143">
        <v>-212.75701470000001</v>
      </c>
    </row>
    <row r="496" spans="1:4" x14ac:dyDescent="0.3">
      <c r="A496" t="s">
        <v>314</v>
      </c>
      <c r="B496" s="83">
        <v>44602</v>
      </c>
      <c r="C496" s="68">
        <v>96638.59</v>
      </c>
      <c r="D496" s="143">
        <v>74.871653899999998</v>
      </c>
    </row>
    <row r="497" spans="1:4" x14ac:dyDescent="0.3">
      <c r="A497" t="s">
        <v>314</v>
      </c>
      <c r="B497" s="83">
        <v>44603</v>
      </c>
      <c r="C497" s="68">
        <v>96696.24</v>
      </c>
      <c r="D497" s="143">
        <v>66.911238400000002</v>
      </c>
    </row>
    <row r="498" spans="1:4" x14ac:dyDescent="0.3">
      <c r="A498" t="s">
        <v>314</v>
      </c>
      <c r="B498" s="83">
        <v>44606</v>
      </c>
      <c r="C498" s="68">
        <v>96780.4</v>
      </c>
      <c r="D498" s="143">
        <v>107.92824295</v>
      </c>
    </row>
    <row r="499" spans="1:4" x14ac:dyDescent="0.3">
      <c r="A499" t="s">
        <v>314</v>
      </c>
      <c r="B499" s="83">
        <v>44607</v>
      </c>
      <c r="C499" s="68">
        <v>96890.58</v>
      </c>
      <c r="D499" s="143">
        <v>147.95104904999999</v>
      </c>
    </row>
    <row r="500" spans="1:4" x14ac:dyDescent="0.3">
      <c r="A500" t="s">
        <v>314</v>
      </c>
      <c r="B500" s="83">
        <v>44608</v>
      </c>
      <c r="C500" s="68">
        <v>96888.66</v>
      </c>
      <c r="D500" s="143">
        <v>10.588526399999999</v>
      </c>
    </row>
    <row r="501" spans="1:4" x14ac:dyDescent="0.3">
      <c r="A501" t="s">
        <v>314</v>
      </c>
      <c r="B501" s="83">
        <v>44609</v>
      </c>
      <c r="C501" s="68">
        <v>96882.79</v>
      </c>
      <c r="D501" s="143">
        <v>4.46538375</v>
      </c>
    </row>
    <row r="502" spans="1:4" x14ac:dyDescent="0.3">
      <c r="A502" s="119" t="s">
        <v>314</v>
      </c>
      <c r="B502" s="83">
        <v>44610</v>
      </c>
      <c r="C502" s="142">
        <v>96868.74</v>
      </c>
      <c r="D502" s="144">
        <v>-8.1648885</v>
      </c>
    </row>
    <row r="503" spans="1:4" x14ac:dyDescent="0.3">
      <c r="A503" s="119" t="s">
        <v>314</v>
      </c>
      <c r="B503" s="83">
        <v>44613</v>
      </c>
      <c r="C503" s="142">
        <v>96864</v>
      </c>
      <c r="D503" s="144">
        <v>6.3810026999999998</v>
      </c>
    </row>
    <row r="504" spans="1:4" x14ac:dyDescent="0.3">
      <c r="A504" s="119" t="s">
        <v>314</v>
      </c>
      <c r="B504" s="83">
        <v>44614</v>
      </c>
      <c r="C504" s="142">
        <v>96842.69</v>
      </c>
      <c r="D504" s="144">
        <v>-19.445408125</v>
      </c>
    </row>
    <row r="505" spans="1:4" x14ac:dyDescent="0.3">
      <c r="A505" s="120" t="s">
        <v>314</v>
      </c>
      <c r="B505" s="83">
        <v>44615</v>
      </c>
      <c r="C505" s="142">
        <v>96911.21</v>
      </c>
      <c r="D505" s="144">
        <v>119.337320375</v>
      </c>
    </row>
    <row r="506" spans="1:4" x14ac:dyDescent="0.3">
      <c r="A506" s="120" t="s">
        <v>314</v>
      </c>
      <c r="B506" s="83">
        <v>44616</v>
      </c>
      <c r="C506" s="142">
        <v>97004.4</v>
      </c>
      <c r="D506" s="144">
        <v>186.2795361</v>
      </c>
    </row>
    <row r="507" spans="1:4" x14ac:dyDescent="0.3">
      <c r="A507" s="120" t="s">
        <v>314</v>
      </c>
      <c r="B507" s="83">
        <v>44617</v>
      </c>
      <c r="C507" s="142">
        <v>97017.07</v>
      </c>
      <c r="D507" s="144">
        <v>37.273188724999997</v>
      </c>
    </row>
    <row r="508" spans="1:4" x14ac:dyDescent="0.3">
      <c r="A508" s="120" t="s">
        <v>314</v>
      </c>
      <c r="B508" s="83">
        <v>44622</v>
      </c>
      <c r="C508" s="142">
        <v>97146.240000000005</v>
      </c>
      <c r="D508" s="144">
        <v>217.31064584999999</v>
      </c>
    </row>
    <row r="509" spans="1:4" x14ac:dyDescent="0.3">
      <c r="A509" s="120" t="s">
        <v>314</v>
      </c>
      <c r="B509" s="83">
        <v>44623</v>
      </c>
      <c r="C509" s="142">
        <v>97216.12</v>
      </c>
      <c r="D509" s="144">
        <v>125.9607834</v>
      </c>
    </row>
    <row r="510" spans="1:4" x14ac:dyDescent="0.3">
      <c r="A510" s="120" t="s">
        <v>314</v>
      </c>
      <c r="B510" s="83">
        <v>44624</v>
      </c>
      <c r="C510" s="142">
        <v>97285.29</v>
      </c>
      <c r="D510" s="144">
        <v>124.64924272499999</v>
      </c>
    </row>
    <row r="511" spans="1:4" x14ac:dyDescent="0.3">
      <c r="A511" s="120" t="s">
        <v>314</v>
      </c>
      <c r="B511" s="83">
        <v>44627</v>
      </c>
      <c r="C511" s="142">
        <v>97325.27</v>
      </c>
      <c r="D511" s="144">
        <v>79.763158175000001</v>
      </c>
    </row>
    <row r="512" spans="1:4" x14ac:dyDescent="0.3">
      <c r="A512" s="120" t="s">
        <v>314</v>
      </c>
      <c r="B512" s="83">
        <v>44628</v>
      </c>
      <c r="C512" s="142">
        <v>97360.93</v>
      </c>
      <c r="D512" s="144">
        <v>73.067783950000006</v>
      </c>
    </row>
    <row r="513" spans="1:4" x14ac:dyDescent="0.3">
      <c r="A513" s="119" t="s">
        <v>314</v>
      </c>
      <c r="B513" s="83">
        <v>44629</v>
      </c>
      <c r="C513" s="142">
        <v>97376.39</v>
      </c>
      <c r="D513" s="144">
        <v>41.774722199999999</v>
      </c>
    </row>
    <row r="514" spans="1:4" x14ac:dyDescent="0.3">
      <c r="A514" s="119" t="s">
        <v>314</v>
      </c>
      <c r="B514" s="83">
        <v>44630</v>
      </c>
      <c r="C514" s="142">
        <v>97539</v>
      </c>
      <c r="D514" s="144">
        <v>269.89390312500001</v>
      </c>
    </row>
    <row r="515" spans="1:4" x14ac:dyDescent="0.3">
      <c r="A515" s="119" t="s">
        <v>314</v>
      </c>
      <c r="B515" s="83">
        <v>44631</v>
      </c>
      <c r="C515" s="142">
        <v>97763.3</v>
      </c>
      <c r="D515" s="144">
        <v>459.02294160000002</v>
      </c>
    </row>
    <row r="516" spans="1:4" x14ac:dyDescent="0.3">
      <c r="A516" s="119" t="s">
        <v>314</v>
      </c>
      <c r="B516" s="83">
        <v>44634</v>
      </c>
      <c r="C516" s="142">
        <v>97650.18</v>
      </c>
      <c r="D516" s="144">
        <v>-151.78459995</v>
      </c>
    </row>
    <row r="517" spans="1:4" x14ac:dyDescent="0.3">
      <c r="A517" s="119" t="s">
        <v>314</v>
      </c>
      <c r="B517" s="83">
        <v>44635</v>
      </c>
      <c r="C517" s="142">
        <v>97578.8</v>
      </c>
      <c r="D517" s="144">
        <v>-87.091050499999994</v>
      </c>
    </row>
    <row r="518" spans="1:4" x14ac:dyDescent="0.3">
      <c r="A518" s="119" t="s">
        <v>314</v>
      </c>
      <c r="B518" s="83">
        <v>44636</v>
      </c>
      <c r="C518" s="142">
        <v>97578.35</v>
      </c>
      <c r="D518" s="144">
        <v>0.1243554</v>
      </c>
    </row>
    <row r="519" spans="1:4" x14ac:dyDescent="0.3">
      <c r="A519" s="119" t="s">
        <v>314</v>
      </c>
      <c r="B519" s="83">
        <v>44637</v>
      </c>
      <c r="C519" s="142">
        <v>97749.64</v>
      </c>
      <c r="D519" s="144">
        <v>267.16188499999998</v>
      </c>
    </row>
    <row r="520" spans="1:4" x14ac:dyDescent="0.3">
      <c r="A520" s="119" t="s">
        <v>314</v>
      </c>
      <c r="B520" s="83">
        <v>44638</v>
      </c>
      <c r="C520" s="142">
        <v>97839.19</v>
      </c>
      <c r="D520" s="144">
        <v>134.67759827500001</v>
      </c>
    </row>
    <row r="521" spans="1:4" x14ac:dyDescent="0.3">
      <c r="A521" s="119" t="s">
        <v>314</v>
      </c>
      <c r="B521" s="83">
        <v>44641</v>
      </c>
      <c r="C521" s="142">
        <v>98112.65</v>
      </c>
      <c r="D521" s="144">
        <v>420.92771640000001</v>
      </c>
    </row>
    <row r="522" spans="1:4" x14ac:dyDescent="0.3">
      <c r="A522" s="119" t="s">
        <v>314</v>
      </c>
      <c r="B522" s="83">
        <v>44642</v>
      </c>
      <c r="C522" s="142">
        <v>98202.36</v>
      </c>
      <c r="D522" s="144">
        <v>134.973946025</v>
      </c>
    </row>
    <row r="523" spans="1:4" x14ac:dyDescent="0.3">
      <c r="A523" s="119" t="s">
        <v>314</v>
      </c>
      <c r="B523" s="83">
        <v>44643</v>
      </c>
      <c r="C523" s="142">
        <v>98298.33</v>
      </c>
      <c r="D523" s="144">
        <v>144.98210610000001</v>
      </c>
    </row>
    <row r="524" spans="1:4" x14ac:dyDescent="0.3">
      <c r="A524" s="119" t="s">
        <v>314</v>
      </c>
      <c r="B524" s="83">
        <v>44644</v>
      </c>
      <c r="C524" s="142">
        <v>98370.74</v>
      </c>
      <c r="D524" s="144">
        <v>108.04836160000001</v>
      </c>
    </row>
    <row r="525" spans="1:4" x14ac:dyDescent="0.3">
      <c r="A525" s="119" t="s">
        <v>314</v>
      </c>
      <c r="B525" s="83">
        <v>44645</v>
      </c>
      <c r="C525" s="142">
        <v>98501.06</v>
      </c>
      <c r="D525" s="144">
        <v>198.600675</v>
      </c>
    </row>
    <row r="526" spans="1:4" x14ac:dyDescent="0.3">
      <c r="A526" s="119" t="s">
        <v>314</v>
      </c>
      <c r="B526" s="83">
        <v>44648</v>
      </c>
      <c r="C526" s="142">
        <v>98247.64</v>
      </c>
      <c r="D526" s="144">
        <v>-197.9174141</v>
      </c>
    </row>
    <row r="527" spans="1:4" x14ac:dyDescent="0.3">
      <c r="A527" s="119" t="s">
        <v>314</v>
      </c>
      <c r="B527" s="83">
        <v>44649</v>
      </c>
      <c r="C527" s="142">
        <v>98169.18</v>
      </c>
      <c r="D527" s="144">
        <v>-104.932463</v>
      </c>
    </row>
    <row r="528" spans="1:4" x14ac:dyDescent="0.3">
      <c r="A528" s="119" t="s">
        <v>314</v>
      </c>
      <c r="B528" s="83">
        <v>44650</v>
      </c>
      <c r="C528" s="142">
        <v>98135.23</v>
      </c>
      <c r="D528" s="144">
        <v>-35.2209237</v>
      </c>
    </row>
    <row r="529" spans="1:4" x14ac:dyDescent="0.3">
      <c r="A529" s="119" t="s">
        <v>314</v>
      </c>
      <c r="B529" s="83">
        <v>44651</v>
      </c>
      <c r="C529" s="142">
        <v>98022.66</v>
      </c>
      <c r="D529" s="144">
        <v>-158.27684445</v>
      </c>
    </row>
    <row r="530" spans="1:4" x14ac:dyDescent="0.3">
      <c r="A530" s="119" t="s">
        <v>314</v>
      </c>
      <c r="B530" s="83">
        <v>44652</v>
      </c>
      <c r="C530" s="142">
        <v>98077.8</v>
      </c>
      <c r="D530" s="144">
        <v>104.04252959999999</v>
      </c>
    </row>
    <row r="531" spans="1:4" x14ac:dyDescent="0.3">
      <c r="A531" s="119" t="s">
        <v>314</v>
      </c>
      <c r="B531" s="83">
        <v>44655</v>
      </c>
      <c r="C531" s="142">
        <v>98074.5</v>
      </c>
      <c r="D531" s="144">
        <v>12.5583977</v>
      </c>
    </row>
    <row r="532" spans="1:4" x14ac:dyDescent="0.3">
      <c r="A532" s="119" t="s">
        <v>314</v>
      </c>
      <c r="B532" s="83">
        <v>44656</v>
      </c>
      <c r="C532" s="142">
        <v>98118.75</v>
      </c>
      <c r="D532" s="144">
        <v>87.252446724999999</v>
      </c>
    </row>
    <row r="533" spans="1:4" x14ac:dyDescent="0.3">
      <c r="A533" s="119" t="s">
        <v>314</v>
      </c>
      <c r="B533" s="83">
        <v>44657</v>
      </c>
      <c r="C533" s="142">
        <v>98189.16</v>
      </c>
      <c r="D533" s="144">
        <v>128.2626684</v>
      </c>
    </row>
    <row r="534" spans="1:4" x14ac:dyDescent="0.3">
      <c r="A534" s="119" t="s">
        <v>314</v>
      </c>
      <c r="B534" s="83">
        <v>44658</v>
      </c>
      <c r="C534" s="142">
        <v>98275.09</v>
      </c>
      <c r="D534" s="144">
        <v>152.39400259999999</v>
      </c>
    </row>
    <row r="535" spans="1:4" x14ac:dyDescent="0.3">
      <c r="A535" s="119" t="s">
        <v>314</v>
      </c>
      <c r="B535" s="83">
        <v>44659</v>
      </c>
      <c r="C535" s="142">
        <v>98212.75</v>
      </c>
      <c r="D535" s="144">
        <v>324.03990420000002</v>
      </c>
    </row>
    <row r="536" spans="1:4" x14ac:dyDescent="0.3">
      <c r="A536" s="119" t="s">
        <v>314</v>
      </c>
      <c r="B536" s="83">
        <v>44662</v>
      </c>
      <c r="C536" s="142">
        <v>98104.38</v>
      </c>
      <c r="D536" s="144">
        <v>-130.18586099999999</v>
      </c>
    </row>
    <row r="537" spans="1:4" x14ac:dyDescent="0.3">
      <c r="A537" s="119" t="s">
        <v>314</v>
      </c>
      <c r="B537" s="83">
        <v>44663</v>
      </c>
      <c r="C537" s="142">
        <v>98189.41</v>
      </c>
      <c r="D537" s="144">
        <v>174.34843875000001</v>
      </c>
    </row>
    <row r="538" spans="1:4" x14ac:dyDescent="0.3">
      <c r="A538" s="119" t="s">
        <v>314</v>
      </c>
      <c r="B538" s="83">
        <v>44664</v>
      </c>
      <c r="C538" s="142">
        <v>98279.45</v>
      </c>
      <c r="D538" s="144">
        <v>182.5908345</v>
      </c>
    </row>
    <row r="539" spans="1:4" x14ac:dyDescent="0.3">
      <c r="A539" s="119" t="s">
        <v>314</v>
      </c>
      <c r="B539" s="83">
        <v>44665</v>
      </c>
      <c r="C539" s="142">
        <v>98383.69</v>
      </c>
      <c r="D539" s="144">
        <v>205.0770636</v>
      </c>
    </row>
    <row r="540" spans="1:4" x14ac:dyDescent="0.3">
      <c r="A540" s="119" t="s">
        <v>314</v>
      </c>
      <c r="B540" s="83">
        <v>44669</v>
      </c>
      <c r="C540" s="142">
        <v>98452.21</v>
      </c>
      <c r="D540" s="144">
        <v>148.78752097500001</v>
      </c>
    </row>
    <row r="541" spans="1:4" x14ac:dyDescent="0.3">
      <c r="A541" s="119" t="s">
        <v>314</v>
      </c>
      <c r="B541" s="83">
        <v>44670</v>
      </c>
      <c r="C541" s="142">
        <v>98446.28</v>
      </c>
      <c r="D541" s="144">
        <v>-15.322241249999999</v>
      </c>
    </row>
    <row r="542" spans="1:4" x14ac:dyDescent="0.3">
      <c r="A542" s="119" t="s">
        <v>314</v>
      </c>
      <c r="B542" s="83">
        <v>44671</v>
      </c>
      <c r="C542" s="142">
        <v>98531.53</v>
      </c>
      <c r="D542" s="144">
        <v>128.74235647500001</v>
      </c>
    </row>
    <row r="543" spans="1:4" x14ac:dyDescent="0.3">
      <c r="A543" s="119" t="s">
        <v>314</v>
      </c>
      <c r="B543" s="83">
        <v>44673</v>
      </c>
      <c r="C543" s="142">
        <v>98591.4</v>
      </c>
      <c r="D543" s="144">
        <v>88.386441700000006</v>
      </c>
    </row>
    <row r="544" spans="1:4" x14ac:dyDescent="0.3">
      <c r="A544" s="119" t="s">
        <v>314</v>
      </c>
      <c r="B544" s="83">
        <v>44676</v>
      </c>
      <c r="C544" s="142">
        <v>98549.83</v>
      </c>
      <c r="D544" s="144">
        <v>-71.547173099999995</v>
      </c>
    </row>
    <row r="545" spans="1:4" x14ac:dyDescent="0.3">
      <c r="A545" s="119" t="s">
        <v>314</v>
      </c>
      <c r="B545" s="83">
        <v>44677</v>
      </c>
      <c r="C545" s="142">
        <v>98585.53</v>
      </c>
      <c r="D545" s="144">
        <v>50.422562775000003</v>
      </c>
    </row>
    <row r="546" spans="1:4" x14ac:dyDescent="0.3">
      <c r="A546" s="119" t="s">
        <v>314</v>
      </c>
      <c r="B546" s="83">
        <v>44678</v>
      </c>
      <c r="C546" s="142">
        <v>98652.51</v>
      </c>
      <c r="D546" s="144">
        <v>99.919796625000004</v>
      </c>
    </row>
    <row r="547" spans="1:4" x14ac:dyDescent="0.3">
      <c r="A547" s="119" t="s">
        <v>314</v>
      </c>
      <c r="B547" s="83">
        <v>44679</v>
      </c>
      <c r="C547" s="142">
        <v>98681.279999999999</v>
      </c>
      <c r="D547" s="144">
        <v>142.20448042500001</v>
      </c>
    </row>
    <row r="548" spans="1:4" x14ac:dyDescent="0.3">
      <c r="A548" s="119" t="s">
        <v>314</v>
      </c>
      <c r="B548" s="83">
        <v>44680</v>
      </c>
      <c r="C548" s="142" t="s">
        <v>315</v>
      </c>
      <c r="D548" s="144" t="s">
        <v>315</v>
      </c>
    </row>
    <row r="549" spans="1:4" x14ac:dyDescent="0.3">
      <c r="A549" s="119" t="s">
        <v>314</v>
      </c>
      <c r="B549" s="83">
        <v>44683</v>
      </c>
      <c r="C549" s="142">
        <v>98743.52</v>
      </c>
      <c r="D549" s="144">
        <v>71.020856100000003</v>
      </c>
    </row>
    <row r="550" spans="1:4" x14ac:dyDescent="0.3">
      <c r="A550" s="119" t="s">
        <v>314</v>
      </c>
      <c r="B550" s="83">
        <v>44684</v>
      </c>
      <c r="C550" s="142">
        <v>98768.61</v>
      </c>
      <c r="D550" s="144">
        <v>48.587127049999999</v>
      </c>
    </row>
    <row r="551" spans="1:4" x14ac:dyDescent="0.3">
      <c r="A551" s="119" t="s">
        <v>314</v>
      </c>
      <c r="B551" s="83">
        <v>44685</v>
      </c>
      <c r="C551" s="142">
        <v>98817.85</v>
      </c>
      <c r="D551" s="144">
        <v>86.664763925000003</v>
      </c>
    </row>
    <row r="552" spans="1:4" x14ac:dyDescent="0.3">
      <c r="A552" s="119" t="s">
        <v>314</v>
      </c>
      <c r="B552" s="83">
        <v>44686</v>
      </c>
      <c r="C552" s="142">
        <v>98850.21</v>
      </c>
      <c r="D552" s="144">
        <v>60.102785599999997</v>
      </c>
    </row>
    <row r="553" spans="1:4" x14ac:dyDescent="0.3">
      <c r="A553" s="119" t="s">
        <v>314</v>
      </c>
      <c r="B553" s="83">
        <v>44687</v>
      </c>
      <c r="C553" s="142">
        <v>98969.35</v>
      </c>
      <c r="D553" s="144">
        <v>192.45862597499999</v>
      </c>
    </row>
    <row r="554" spans="1:4" x14ac:dyDescent="0.3">
      <c r="A554" s="119" t="s">
        <v>314</v>
      </c>
      <c r="B554" s="83">
        <v>44690</v>
      </c>
      <c r="C554" s="142">
        <v>98846.06</v>
      </c>
      <c r="D554" s="144">
        <v>-192.91907269999999</v>
      </c>
    </row>
    <row r="555" spans="1:4" x14ac:dyDescent="0.3">
      <c r="A555" s="119" t="s">
        <v>314</v>
      </c>
      <c r="B555" s="83">
        <v>44691</v>
      </c>
      <c r="C555" s="142">
        <v>98768.3</v>
      </c>
      <c r="D555" s="144">
        <v>-120.63773999999999</v>
      </c>
    </row>
    <row r="556" spans="1:4" x14ac:dyDescent="0.3">
      <c r="A556" s="119" t="s">
        <v>314</v>
      </c>
      <c r="B556" s="83">
        <v>44692</v>
      </c>
      <c r="C556" s="142">
        <v>98874.28</v>
      </c>
      <c r="D556" s="144">
        <v>329.05285409999999</v>
      </c>
    </row>
    <row r="557" spans="1:4" x14ac:dyDescent="0.3">
      <c r="A557" s="119" t="s">
        <v>314</v>
      </c>
      <c r="B557" s="83">
        <v>44693</v>
      </c>
      <c r="C557" s="142">
        <v>98878.59</v>
      </c>
      <c r="D557" s="144">
        <v>19.924375000000001</v>
      </c>
    </row>
    <row r="558" spans="1:4" x14ac:dyDescent="0.3">
      <c r="A558" s="119" t="s">
        <v>314</v>
      </c>
      <c r="B558" s="83">
        <v>44694</v>
      </c>
      <c r="C558" s="142">
        <v>98934.62</v>
      </c>
      <c r="D558" s="144">
        <v>102.37245865</v>
      </c>
    </row>
    <row r="559" spans="1:4" x14ac:dyDescent="0.3">
      <c r="A559" s="119" t="s">
        <v>314</v>
      </c>
      <c r="B559" s="83">
        <v>44697</v>
      </c>
      <c r="C559" s="142">
        <v>98881.13</v>
      </c>
      <c r="D559" s="144">
        <v>-72.381859199999994</v>
      </c>
    </row>
    <row r="560" spans="1:4" x14ac:dyDescent="0.3">
      <c r="A560" s="119" t="s">
        <v>314</v>
      </c>
      <c r="B560" s="83">
        <v>44698</v>
      </c>
      <c r="C560" s="142">
        <v>98912.71</v>
      </c>
      <c r="D560" s="144">
        <v>8.6984861250000005</v>
      </c>
    </row>
    <row r="561" spans="1:4" x14ac:dyDescent="0.3">
      <c r="A561" s="119" t="s">
        <v>314</v>
      </c>
      <c r="B561" s="83">
        <v>44699</v>
      </c>
      <c r="C561" s="142">
        <v>98781.33</v>
      </c>
      <c r="D561" s="144">
        <v>-251.4625652</v>
      </c>
    </row>
    <row r="562" spans="1:4" x14ac:dyDescent="0.3">
      <c r="A562" s="119" t="s">
        <v>314</v>
      </c>
      <c r="B562" s="83">
        <v>44700</v>
      </c>
      <c r="C562" s="142">
        <v>98558.94</v>
      </c>
      <c r="D562" s="144">
        <v>-396.545412</v>
      </c>
    </row>
    <row r="563" spans="1:4" x14ac:dyDescent="0.3">
      <c r="A563" s="119" t="s">
        <v>314</v>
      </c>
      <c r="B563" s="83">
        <v>44701</v>
      </c>
      <c r="C563" s="142">
        <v>98611.15</v>
      </c>
      <c r="D563" s="144">
        <v>41.762922875000001</v>
      </c>
    </row>
    <row r="564" spans="1:4" x14ac:dyDescent="0.3">
      <c r="A564" s="119" t="s">
        <v>314</v>
      </c>
      <c r="B564" s="83">
        <v>44704</v>
      </c>
      <c r="C564" s="142">
        <v>98605.85</v>
      </c>
      <c r="D564" s="144">
        <v>-50.125941300000001</v>
      </c>
    </row>
    <row r="565" spans="1:4" x14ac:dyDescent="0.3">
      <c r="A565" s="119" t="s">
        <v>314</v>
      </c>
      <c r="B565" s="83">
        <v>44705</v>
      </c>
      <c r="C565" s="142">
        <v>98695.72</v>
      </c>
      <c r="D565" s="144">
        <v>101.918399325</v>
      </c>
    </row>
    <row r="566" spans="1:4" x14ac:dyDescent="0.3">
      <c r="A566" s="119" t="s">
        <v>314</v>
      </c>
      <c r="B566" s="83">
        <v>44706</v>
      </c>
      <c r="C566" s="142">
        <v>98623.39</v>
      </c>
      <c r="D566" s="144">
        <v>-92.175668200000004</v>
      </c>
    </row>
    <row r="567" spans="1:4" x14ac:dyDescent="0.3">
      <c r="A567" s="119" t="s">
        <v>314</v>
      </c>
      <c r="B567" s="83">
        <v>44707</v>
      </c>
      <c r="C567" s="142">
        <v>98546.63</v>
      </c>
      <c r="D567" s="144">
        <v>-155.11633749999999</v>
      </c>
    </row>
    <row r="568" spans="1:4" x14ac:dyDescent="0.3">
      <c r="A568" s="119" t="s">
        <v>314</v>
      </c>
      <c r="B568" s="83">
        <v>44708</v>
      </c>
      <c r="C568" s="142">
        <v>98413.99</v>
      </c>
      <c r="D568" s="144">
        <v>-244.52550155</v>
      </c>
    </row>
    <row r="569" spans="1:4" x14ac:dyDescent="0.3">
      <c r="A569" s="119" t="s">
        <v>314</v>
      </c>
      <c r="B569" s="83">
        <v>44711</v>
      </c>
      <c r="C569" s="142">
        <v>98419.09</v>
      </c>
      <c r="D569" s="144">
        <v>-24.175886675000001</v>
      </c>
    </row>
    <row r="570" spans="1:4" x14ac:dyDescent="0.3">
      <c r="A570" s="119" t="s">
        <v>314</v>
      </c>
      <c r="B570" s="83">
        <v>44712</v>
      </c>
      <c r="C570" s="142">
        <v>98413.58</v>
      </c>
      <c r="D570" s="144">
        <v>-41.194810799999999</v>
      </c>
    </row>
    <row r="571" spans="1:4" x14ac:dyDescent="0.3">
      <c r="A571" s="119" t="s">
        <v>314</v>
      </c>
      <c r="B571" s="83">
        <v>44713</v>
      </c>
      <c r="C571" s="142">
        <v>98509.3</v>
      </c>
      <c r="D571" s="144">
        <v>120.86398625</v>
      </c>
    </row>
    <row r="572" spans="1:4" x14ac:dyDescent="0.3">
      <c r="A572" s="119" t="s">
        <v>314</v>
      </c>
      <c r="B572" s="83">
        <v>44714</v>
      </c>
      <c r="C572" s="142">
        <v>98561.88</v>
      </c>
      <c r="D572" s="144">
        <v>52.009493200000001</v>
      </c>
    </row>
    <row r="573" spans="1:4" x14ac:dyDescent="0.3">
      <c r="A573" s="119" t="s">
        <v>314</v>
      </c>
      <c r="B573" s="83">
        <v>44715</v>
      </c>
      <c r="C573" s="142">
        <v>98683.01</v>
      </c>
      <c r="D573" s="144">
        <v>161.54796630000001</v>
      </c>
    </row>
    <row r="574" spans="1:4" x14ac:dyDescent="0.3">
      <c r="A574" s="119" t="s">
        <v>314</v>
      </c>
      <c r="B574" s="83">
        <v>44718</v>
      </c>
      <c r="C574" s="142">
        <v>98797.39</v>
      </c>
      <c r="D574" s="144">
        <v>150.72862559999999</v>
      </c>
    </row>
    <row r="575" spans="1:4" x14ac:dyDescent="0.3">
      <c r="A575" s="119" t="s">
        <v>314</v>
      </c>
      <c r="B575" s="83">
        <v>44719</v>
      </c>
      <c r="C575" s="142">
        <v>98299.88</v>
      </c>
      <c r="D575" s="144">
        <v>-829.63058062499999</v>
      </c>
    </row>
    <row r="576" spans="1:4" x14ac:dyDescent="0.3">
      <c r="A576" s="119" t="s">
        <v>314</v>
      </c>
      <c r="B576" s="83">
        <v>44720</v>
      </c>
      <c r="C576" s="142">
        <v>98213.13</v>
      </c>
      <c r="D576" s="144">
        <v>-171.50390010000001</v>
      </c>
    </row>
    <row r="577" spans="1:4" x14ac:dyDescent="0.3">
      <c r="A577" s="119" t="s">
        <v>314</v>
      </c>
      <c r="B577" s="83">
        <v>44721</v>
      </c>
      <c r="C577" s="142">
        <v>97880.88</v>
      </c>
      <c r="D577" s="144">
        <v>-719.06973319999997</v>
      </c>
    </row>
    <row r="578" spans="1:4" x14ac:dyDescent="0.3">
      <c r="A578" s="119" t="s">
        <v>314</v>
      </c>
      <c r="B578" s="83">
        <v>44722</v>
      </c>
      <c r="C578" s="142">
        <v>98045.13</v>
      </c>
      <c r="D578" s="144">
        <v>222.57692940000001</v>
      </c>
    </row>
    <row r="579" spans="1:4" x14ac:dyDescent="0.3">
      <c r="A579" s="119" t="s">
        <v>314</v>
      </c>
      <c r="B579" s="83">
        <v>44725</v>
      </c>
      <c r="C579" s="142">
        <v>98125</v>
      </c>
      <c r="D579" s="144">
        <v>87.322268374999993</v>
      </c>
    </row>
    <row r="580" spans="1:4" x14ac:dyDescent="0.3">
      <c r="A580" s="119" t="s">
        <v>314</v>
      </c>
      <c r="B580" s="83">
        <v>44726</v>
      </c>
      <c r="C580" s="142">
        <v>98011.76</v>
      </c>
      <c r="D580" s="144">
        <v>-222.47939700000001</v>
      </c>
    </row>
    <row r="581" spans="1:4" x14ac:dyDescent="0.3">
      <c r="A581" s="119" t="s">
        <v>314</v>
      </c>
      <c r="B581" s="83">
        <v>44727</v>
      </c>
      <c r="C581" s="142">
        <v>98172.79</v>
      </c>
      <c r="D581" s="144">
        <v>217.4607608</v>
      </c>
    </row>
    <row r="582" spans="1:4" x14ac:dyDescent="0.3">
      <c r="A582" s="119" t="s">
        <v>314</v>
      </c>
      <c r="B582" s="83">
        <v>44729</v>
      </c>
      <c r="C582" s="142">
        <v>98117.55</v>
      </c>
      <c r="D582" s="144">
        <v>-115.130161425</v>
      </c>
    </row>
    <row r="583" spans="1:4" x14ac:dyDescent="0.3">
      <c r="A583" s="119" t="s">
        <v>314</v>
      </c>
      <c r="B583" s="83">
        <v>44732</v>
      </c>
      <c r="C583" s="142">
        <v>98233.93</v>
      </c>
      <c r="D583" s="144">
        <v>157.37152950000001</v>
      </c>
    </row>
    <row r="584" spans="1:4" x14ac:dyDescent="0.3">
      <c r="A584" s="119" t="s">
        <v>314</v>
      </c>
      <c r="B584" s="83">
        <v>44733</v>
      </c>
      <c r="C584" s="142">
        <v>98213.96</v>
      </c>
      <c r="D584" s="144">
        <v>-61.427246099999998</v>
      </c>
    </row>
    <row r="585" spans="1:4" x14ac:dyDescent="0.3">
      <c r="A585" s="119" t="s">
        <v>314</v>
      </c>
      <c r="B585" s="83">
        <v>44734</v>
      </c>
      <c r="C585" s="142" t="s">
        <v>315</v>
      </c>
      <c r="D585" s="144">
        <v>-68.42</v>
      </c>
    </row>
    <row r="586" spans="1:4" x14ac:dyDescent="0.3">
      <c r="A586" s="119" t="s">
        <v>314</v>
      </c>
      <c r="B586" s="83">
        <v>44735</v>
      </c>
      <c r="C586" s="142">
        <v>98294.5</v>
      </c>
      <c r="D586" s="144">
        <v>138.95360005000001</v>
      </c>
    </row>
    <row r="587" spans="1:4" x14ac:dyDescent="0.3">
      <c r="A587" s="119" t="s">
        <v>314</v>
      </c>
      <c r="B587" s="83">
        <v>44736</v>
      </c>
      <c r="C587" s="142">
        <v>98512.6</v>
      </c>
      <c r="D587" s="144">
        <v>320.84352519999999</v>
      </c>
    </row>
    <row r="588" spans="1:4" x14ac:dyDescent="0.3">
      <c r="A588" s="119" t="s">
        <v>314</v>
      </c>
      <c r="B588" s="83">
        <v>44739</v>
      </c>
      <c r="C588" s="142">
        <v>98189.45</v>
      </c>
      <c r="D588" s="144">
        <v>-501.46213590000002</v>
      </c>
    </row>
    <row r="589" spans="1:4" x14ac:dyDescent="0.3">
      <c r="A589" s="119" t="s">
        <v>314</v>
      </c>
      <c r="B589" s="83">
        <v>44740</v>
      </c>
      <c r="C589" s="142">
        <v>98165.43</v>
      </c>
      <c r="D589" s="144">
        <v>-61.493281875000001</v>
      </c>
    </row>
    <row r="590" spans="1:4" x14ac:dyDescent="0.3">
      <c r="A590" s="119" t="s">
        <v>314</v>
      </c>
      <c r="B590" s="83">
        <v>44741</v>
      </c>
      <c r="C590" s="142">
        <v>98171.91</v>
      </c>
      <c r="D590" s="144">
        <v>-12.23859225</v>
      </c>
    </row>
    <row r="591" spans="1:4" x14ac:dyDescent="0.3">
      <c r="A591" s="119" t="s">
        <v>314</v>
      </c>
      <c r="B591" s="83">
        <v>44742</v>
      </c>
      <c r="C591" s="142">
        <v>98260.44</v>
      </c>
      <c r="D591" s="144">
        <v>119.74168147499999</v>
      </c>
    </row>
    <row r="592" spans="1:4" x14ac:dyDescent="0.3">
      <c r="A592" s="119" t="s">
        <v>314</v>
      </c>
      <c r="B592" s="83">
        <v>44743</v>
      </c>
      <c r="C592" s="142">
        <v>97951.86</v>
      </c>
      <c r="D592" s="144">
        <v>-519.33401800000001</v>
      </c>
    </row>
    <row r="593" spans="1:4" x14ac:dyDescent="0.3">
      <c r="A593" s="119" t="s">
        <v>314</v>
      </c>
      <c r="B593" s="83">
        <v>44746</v>
      </c>
      <c r="C593" s="142">
        <v>97771.66</v>
      </c>
      <c r="D593" s="144">
        <v>-312.78698527500001</v>
      </c>
    </row>
    <row r="594" spans="1:4" x14ac:dyDescent="0.3">
      <c r="A594" s="119" t="s">
        <v>314</v>
      </c>
      <c r="B594" s="83">
        <v>44747</v>
      </c>
      <c r="C594" s="142">
        <v>97721.04</v>
      </c>
      <c r="D594" s="144">
        <v>-104.1964385</v>
      </c>
    </row>
    <row r="595" spans="1:4" x14ac:dyDescent="0.3">
      <c r="A595" s="119" t="s">
        <v>314</v>
      </c>
      <c r="B595" s="83">
        <v>44748</v>
      </c>
      <c r="C595" s="142">
        <v>97849.58</v>
      </c>
      <c r="D595" s="144">
        <v>184.39649075</v>
      </c>
    </row>
    <row r="596" spans="1:4" x14ac:dyDescent="0.3">
      <c r="A596" s="119" t="s">
        <v>314</v>
      </c>
      <c r="B596" s="83">
        <v>44749</v>
      </c>
      <c r="C596" s="142">
        <v>98004.42</v>
      </c>
      <c r="D596" s="144">
        <v>226.79624609999999</v>
      </c>
    </row>
    <row r="597" spans="1:4" x14ac:dyDescent="0.3">
      <c r="A597" s="119" t="s">
        <v>314</v>
      </c>
      <c r="B597" s="83">
        <v>44750</v>
      </c>
      <c r="C597" s="142">
        <v>98128.9</v>
      </c>
      <c r="D597" s="144">
        <v>106.2877309</v>
      </c>
    </row>
    <row r="598" spans="1:4" x14ac:dyDescent="0.3">
      <c r="A598" s="119" t="s">
        <v>314</v>
      </c>
      <c r="B598" s="83">
        <v>44753</v>
      </c>
      <c r="C598" s="142">
        <v>98126.69</v>
      </c>
      <c r="D598" s="144">
        <v>-30.803600100000001</v>
      </c>
    </row>
    <row r="599" spans="1:4" x14ac:dyDescent="0.3">
      <c r="A599" s="119" t="s">
        <v>314</v>
      </c>
      <c r="B599" s="83">
        <v>44754</v>
      </c>
      <c r="C599" s="142">
        <v>98127.07</v>
      </c>
      <c r="D599" s="144">
        <v>-26.653343925000001</v>
      </c>
    </row>
    <row r="600" spans="1:4" x14ac:dyDescent="0.3">
      <c r="A600" s="119" t="s">
        <v>314</v>
      </c>
      <c r="B600" s="83">
        <v>44755</v>
      </c>
      <c r="C600" s="142">
        <v>98115.23</v>
      </c>
      <c r="D600" s="144">
        <v>-46.388010600000001</v>
      </c>
    </row>
    <row r="601" spans="1:4" x14ac:dyDescent="0.3">
      <c r="A601" s="119" t="s">
        <v>314</v>
      </c>
      <c r="B601" s="83">
        <v>44756</v>
      </c>
      <c r="C601" s="142">
        <v>98103.72</v>
      </c>
      <c r="D601" s="144">
        <v>-45.870312425000002</v>
      </c>
    </row>
    <row r="602" spans="1:4" x14ac:dyDescent="0.3">
      <c r="A602" s="119" t="s">
        <v>314</v>
      </c>
      <c r="B602" s="83">
        <v>44757</v>
      </c>
      <c r="C602" s="142">
        <v>98093.15</v>
      </c>
      <c r="D602" s="144">
        <v>-44.158014000000001</v>
      </c>
    </row>
    <row r="603" spans="1:4" x14ac:dyDescent="0.3">
      <c r="A603" s="119" t="s">
        <v>314</v>
      </c>
      <c r="B603" s="83">
        <v>44760</v>
      </c>
      <c r="C603" s="142">
        <v>98170.14</v>
      </c>
      <c r="D603" s="144">
        <v>-0.98422127500000001</v>
      </c>
    </row>
    <row r="604" spans="1:4" x14ac:dyDescent="0.3">
      <c r="A604" s="119" t="s">
        <v>314</v>
      </c>
      <c r="B604" s="83">
        <v>44761</v>
      </c>
      <c r="C604" s="142">
        <v>98249.1</v>
      </c>
      <c r="D604" s="144">
        <v>2.09689025</v>
      </c>
    </row>
    <row r="605" spans="1:4" x14ac:dyDescent="0.3">
      <c r="A605" s="119" t="s">
        <v>314</v>
      </c>
      <c r="B605" s="83">
        <v>44762</v>
      </c>
      <c r="C605" s="142">
        <v>98424.38</v>
      </c>
      <c r="D605" s="144">
        <v>157.04186195</v>
      </c>
    </row>
    <row r="606" spans="1:4" x14ac:dyDescent="0.3">
      <c r="A606" s="119" t="s">
        <v>314</v>
      </c>
      <c r="B606" s="83">
        <v>44763</v>
      </c>
      <c r="C606" s="142">
        <v>98543.27</v>
      </c>
      <c r="D606" s="144">
        <v>66.108940200000006</v>
      </c>
    </row>
    <row r="607" spans="1:4" x14ac:dyDescent="0.3">
      <c r="A607" s="119" t="s">
        <v>314</v>
      </c>
      <c r="B607" s="83">
        <v>44764</v>
      </c>
      <c r="C607" s="142">
        <v>98580.7</v>
      </c>
      <c r="D607" s="144">
        <v>-65.363859599999998</v>
      </c>
    </row>
    <row r="608" spans="1:4" x14ac:dyDescent="0.3">
      <c r="A608" s="119" t="s">
        <v>314</v>
      </c>
      <c r="B608" s="83">
        <v>44767</v>
      </c>
      <c r="C608" s="142">
        <v>98586.89</v>
      </c>
      <c r="D608" s="144">
        <v>-115.737832</v>
      </c>
    </row>
    <row r="609" spans="1:4" x14ac:dyDescent="0.3">
      <c r="A609" s="119" t="s">
        <v>314</v>
      </c>
      <c r="B609" s="83">
        <v>44768</v>
      </c>
      <c r="C609" s="142">
        <v>98771.92</v>
      </c>
      <c r="D609" s="144">
        <v>172.31434934999999</v>
      </c>
    </row>
    <row r="610" spans="1:4" x14ac:dyDescent="0.3">
      <c r="A610" s="119" t="s">
        <v>314</v>
      </c>
      <c r="B610" s="83">
        <v>44769</v>
      </c>
      <c r="C610" s="142">
        <v>98875.9</v>
      </c>
      <c r="D610" s="144">
        <v>23.217389650000001</v>
      </c>
    </row>
    <row r="611" spans="1:4" x14ac:dyDescent="0.3">
      <c r="A611" s="119" t="s">
        <v>314</v>
      </c>
      <c r="B611" s="83">
        <v>44770</v>
      </c>
      <c r="C611" s="142">
        <v>98960.41</v>
      </c>
      <c r="D611" s="144">
        <v>7.7894354999999997</v>
      </c>
    </row>
    <row r="612" spans="1:4" x14ac:dyDescent="0.3">
      <c r="A612" s="119" t="s">
        <v>314</v>
      </c>
      <c r="B612" s="83">
        <v>44771</v>
      </c>
      <c r="C612" s="142">
        <v>99050.45</v>
      </c>
      <c r="D612" s="144">
        <v>16.5553752</v>
      </c>
    </row>
    <row r="613" spans="1:4" x14ac:dyDescent="0.3">
      <c r="A613" s="119" t="s">
        <v>314</v>
      </c>
      <c r="B613" s="83">
        <v>44774</v>
      </c>
      <c r="C613" s="142">
        <v>99121.25</v>
      </c>
      <c r="D613" s="144">
        <v>-14.28237</v>
      </c>
    </row>
    <row r="614" spans="1:4" x14ac:dyDescent="0.3">
      <c r="A614" s="119" t="s">
        <v>314</v>
      </c>
      <c r="B614" s="83">
        <v>44775</v>
      </c>
      <c r="C614" s="142">
        <v>99200.28</v>
      </c>
      <c r="D614" s="144">
        <v>-1.398844725</v>
      </c>
    </row>
    <row r="615" spans="1:4" x14ac:dyDescent="0.3">
      <c r="A615" s="119" t="s">
        <v>314</v>
      </c>
      <c r="B615" s="83">
        <v>44776</v>
      </c>
      <c r="C615" s="142">
        <v>99276.51</v>
      </c>
      <c r="D615" s="144">
        <v>-6.0275999999999996</v>
      </c>
    </row>
    <row r="616" spans="1:4" x14ac:dyDescent="0.3">
      <c r="A616" s="119" t="s">
        <v>314</v>
      </c>
      <c r="B616" s="83">
        <v>44777</v>
      </c>
      <c r="C616" s="142">
        <v>99365.119999999995</v>
      </c>
      <c r="D616" s="144">
        <v>13.754657399999999</v>
      </c>
    </row>
    <row r="617" spans="1:4" x14ac:dyDescent="0.3">
      <c r="A617" s="119" t="s">
        <v>314</v>
      </c>
      <c r="B617" s="83">
        <v>44778</v>
      </c>
      <c r="C617" s="142">
        <v>99454.82</v>
      </c>
      <c r="D617" s="144">
        <v>12.834716524999999</v>
      </c>
    </row>
    <row r="618" spans="1:4" x14ac:dyDescent="0.3">
      <c r="A618" s="119" t="s">
        <v>314</v>
      </c>
      <c r="B618" s="83">
        <v>44781</v>
      </c>
      <c r="C618" s="142">
        <v>99548.77</v>
      </c>
      <c r="D618" s="144">
        <v>19.27008</v>
      </c>
    </row>
    <row r="619" spans="1:4" x14ac:dyDescent="0.3">
      <c r="A619" s="119" t="s">
        <v>314</v>
      </c>
      <c r="B619" s="83">
        <v>44782</v>
      </c>
      <c r="C619" s="142">
        <v>99667.45</v>
      </c>
      <c r="D619" s="144">
        <v>32.925420850000002</v>
      </c>
    </row>
    <row r="620" spans="1:4" x14ac:dyDescent="0.3">
      <c r="A620" s="119" t="s">
        <v>314</v>
      </c>
      <c r="B620" s="83">
        <v>44783</v>
      </c>
      <c r="C620" s="142">
        <v>99750</v>
      </c>
      <c r="D620" s="144">
        <v>-0.85041149999999999</v>
      </c>
    </row>
    <row r="621" spans="1:4" x14ac:dyDescent="0.3">
      <c r="A621" s="119" t="s">
        <v>314</v>
      </c>
      <c r="B621" s="83">
        <v>44784</v>
      </c>
      <c r="C621" s="142">
        <v>99833.59</v>
      </c>
      <c r="D621" s="144">
        <v>0.94637769999999999</v>
      </c>
    </row>
    <row r="622" spans="1:4" x14ac:dyDescent="0.3">
      <c r="A622" s="119" t="s">
        <v>314</v>
      </c>
      <c r="B622" s="83">
        <v>44785</v>
      </c>
      <c r="C622" s="142">
        <v>99916.63</v>
      </c>
      <c r="D622" s="144">
        <v>-0.32070149999999997</v>
      </c>
    </row>
    <row r="623" spans="1:4" x14ac:dyDescent="0.3">
      <c r="A623" s="119" t="s">
        <v>314</v>
      </c>
      <c r="B623" s="83">
        <v>44788</v>
      </c>
      <c r="C623" s="142">
        <v>100000</v>
      </c>
      <c r="D623" s="144">
        <v>0.33662737500000001</v>
      </c>
    </row>
    <row r="627" spans="1:1" x14ac:dyDescent="0.3">
      <c r="A627" s="119" t="s">
        <v>316</v>
      </c>
    </row>
    <row r="628" spans="1:1" x14ac:dyDescent="0.3">
      <c r="A628" s="119" t="s">
        <v>317</v>
      </c>
    </row>
    <row r="629" spans="1:1" x14ac:dyDescent="0.3">
      <c r="A629" s="119" t="s">
        <v>318</v>
      </c>
    </row>
    <row r="630" spans="1:1" x14ac:dyDescent="0.3">
      <c r="A630" s="119" t="s">
        <v>319</v>
      </c>
    </row>
    <row r="631" spans="1:1" x14ac:dyDescent="0.3">
      <c r="A631" s="119" t="s">
        <v>320</v>
      </c>
    </row>
    <row r="632" spans="1:1" x14ac:dyDescent="0.3">
      <c r="A632" s="119" t="s">
        <v>321</v>
      </c>
    </row>
    <row r="633" spans="1:1" x14ac:dyDescent="0.3">
      <c r="A633" s="119" t="s">
        <v>322</v>
      </c>
    </row>
    <row r="634" spans="1:1" x14ac:dyDescent="0.3">
      <c r="A634" s="119" t="s">
        <v>323</v>
      </c>
    </row>
  </sheetData>
  <autoFilter ref="A1:D623" xr:uid="{00000000-0009-0000-0000-00000B000000}">
    <filterColumn colId="1">
      <customFilters>
        <customFilter operator="greaterThan" val="44420"/>
      </customFilters>
    </filterColumn>
  </autoFilter>
  <pageMargins left="0.511811024" right="0.511811024" top="0.78740157499999996" bottom="0.78740157499999996" header="0.31496062000000002" footer="0.31496062000000002"/>
  <pageSetup paperSize="9" orientation="portrait" r:id="rId1"/>
  <headerFooter>
    <oddHeader>&amp;R&amp;"Calibri"&amp;10&amp;K000000#interna&amp;1#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theme="7" tint="0.79998168889431442"/>
  </sheetPr>
  <dimension ref="A1:D512"/>
  <sheetViews>
    <sheetView tabSelected="1" workbookViewId="0">
      <pane xSplit="2" ySplit="1" topLeftCell="C467" activePane="bottomRight" state="frozen"/>
      <selection activeCell="D252" sqref="D252"/>
      <selection pane="topRight" activeCell="D252" sqref="D252"/>
      <selection pane="bottomLeft" activeCell="D252" sqref="D252"/>
      <selection pane="bottomRight" activeCell="E386" sqref="E386:E448"/>
    </sheetView>
  </sheetViews>
  <sheetFormatPr defaultColWidth="9.109375" defaultRowHeight="14.4" x14ac:dyDescent="0.3"/>
  <cols>
    <col min="1" max="1" width="34.109375" style="119" customWidth="1"/>
    <col min="2" max="2" width="10.44140625" style="119" bestFit="1" customWidth="1"/>
    <col min="3" max="3" width="24.33203125" style="119" customWidth="1"/>
    <col min="4" max="4" width="30" style="119" bestFit="1" customWidth="1"/>
    <col min="5" max="5" width="10" style="119" customWidth="1"/>
    <col min="6" max="16384" width="9.109375" style="119"/>
  </cols>
  <sheetData>
    <row r="1" spans="1:4" x14ac:dyDescent="0.3">
      <c r="A1" s="96" t="s">
        <v>311</v>
      </c>
      <c r="B1" s="96" t="s">
        <v>0</v>
      </c>
      <c r="C1" s="96" t="s">
        <v>312</v>
      </c>
      <c r="D1" s="96" t="s">
        <v>313</v>
      </c>
    </row>
    <row r="2" spans="1:4" x14ac:dyDescent="0.3">
      <c r="A2" t="s">
        <v>326</v>
      </c>
      <c r="B2" s="83">
        <v>44246</v>
      </c>
      <c r="C2" s="68">
        <v>93666.65</v>
      </c>
      <c r="D2" s="143">
        <v>-264.88445000000002</v>
      </c>
    </row>
    <row r="3" spans="1:4" x14ac:dyDescent="0.3">
      <c r="A3" t="s">
        <v>326</v>
      </c>
      <c r="B3" s="83">
        <v>44249</v>
      </c>
      <c r="C3" s="68">
        <v>93228.15</v>
      </c>
      <c r="D3" s="143">
        <v>-573.75646600000005</v>
      </c>
    </row>
    <row r="4" spans="1:4" x14ac:dyDescent="0.3">
      <c r="A4" t="s">
        <v>326</v>
      </c>
      <c r="B4" s="83">
        <v>44250</v>
      </c>
      <c r="C4" s="68">
        <v>93362.49</v>
      </c>
      <c r="D4" s="143">
        <v>225.329711</v>
      </c>
    </row>
    <row r="5" spans="1:4" x14ac:dyDescent="0.3">
      <c r="A5" t="s">
        <v>326</v>
      </c>
      <c r="B5" s="83">
        <v>44251</v>
      </c>
      <c r="C5" s="68">
        <v>93148.18</v>
      </c>
      <c r="D5" s="143">
        <v>-261.32160699999997</v>
      </c>
    </row>
    <row r="6" spans="1:4" x14ac:dyDescent="0.3">
      <c r="A6" t="s">
        <v>326</v>
      </c>
      <c r="B6" s="83">
        <v>44252</v>
      </c>
      <c r="C6" s="68">
        <v>92526.88</v>
      </c>
      <c r="D6" s="143">
        <v>-829.964609</v>
      </c>
    </row>
    <row r="7" spans="1:4" x14ac:dyDescent="0.3">
      <c r="A7" t="s">
        <v>326</v>
      </c>
      <c r="B7" s="83">
        <v>44253</v>
      </c>
      <c r="C7" s="68">
        <v>92005.440000000002</v>
      </c>
      <c r="D7" s="143">
        <v>-691.00949500000002</v>
      </c>
    </row>
    <row r="8" spans="1:4" x14ac:dyDescent="0.3">
      <c r="A8" t="s">
        <v>326</v>
      </c>
      <c r="B8" s="83">
        <v>44256</v>
      </c>
      <c r="C8" s="68">
        <v>91643.09</v>
      </c>
      <c r="D8" s="143">
        <v>-469.12486699999999</v>
      </c>
    </row>
    <row r="9" spans="1:4" x14ac:dyDescent="0.3">
      <c r="A9" t="s">
        <v>326</v>
      </c>
      <c r="B9" s="83">
        <v>44257</v>
      </c>
      <c r="C9" s="68">
        <v>91529.12</v>
      </c>
      <c r="D9" s="143">
        <v>-121.95231200000001</v>
      </c>
    </row>
    <row r="10" spans="1:4" x14ac:dyDescent="0.3">
      <c r="A10" t="s">
        <v>326</v>
      </c>
      <c r="B10" s="83">
        <v>44258</v>
      </c>
      <c r="C10" s="68">
        <v>91569.18</v>
      </c>
      <c r="D10" s="143">
        <v>93.155085</v>
      </c>
    </row>
    <row r="11" spans="1:4" x14ac:dyDescent="0.3">
      <c r="A11" t="s">
        <v>326</v>
      </c>
      <c r="B11" s="83">
        <v>44259</v>
      </c>
      <c r="C11" s="68">
        <v>92412.57</v>
      </c>
      <c r="D11" s="143">
        <v>1217.476549</v>
      </c>
    </row>
    <row r="12" spans="1:4" x14ac:dyDescent="0.3">
      <c r="A12" t="s">
        <v>326</v>
      </c>
      <c r="B12" s="83">
        <v>44260</v>
      </c>
      <c r="C12" s="68">
        <v>93295.41</v>
      </c>
      <c r="D12" s="143">
        <v>1273.2243229999999</v>
      </c>
    </row>
    <row r="13" spans="1:4" x14ac:dyDescent="0.3">
      <c r="A13" t="s">
        <v>326</v>
      </c>
      <c r="B13" s="83">
        <v>44263</v>
      </c>
      <c r="C13" s="68">
        <v>92460.4</v>
      </c>
      <c r="D13" s="143">
        <v>-1131.1580329999999</v>
      </c>
    </row>
    <row r="14" spans="1:4" x14ac:dyDescent="0.3">
      <c r="A14" t="s">
        <v>326</v>
      </c>
      <c r="B14" s="83">
        <v>44264</v>
      </c>
      <c r="C14" s="68">
        <v>92375.88</v>
      </c>
      <c r="D14" s="143">
        <v>-80.894468000000003</v>
      </c>
    </row>
    <row r="15" spans="1:4" x14ac:dyDescent="0.3">
      <c r="A15" t="s">
        <v>326</v>
      </c>
      <c r="B15" s="83">
        <v>44265</v>
      </c>
      <c r="C15" s="68">
        <v>92384.36</v>
      </c>
      <c r="D15" s="143">
        <v>49.563361999999998</v>
      </c>
    </row>
    <row r="16" spans="1:4" x14ac:dyDescent="0.3">
      <c r="A16" t="s">
        <v>326</v>
      </c>
      <c r="B16" s="83">
        <v>44266</v>
      </c>
      <c r="C16" s="68">
        <v>92423.73</v>
      </c>
      <c r="D16" s="143">
        <v>321.06712700000003</v>
      </c>
    </row>
    <row r="17" spans="1:4" x14ac:dyDescent="0.3">
      <c r="A17" t="s">
        <v>326</v>
      </c>
      <c r="B17" s="83">
        <v>44267</v>
      </c>
      <c r="C17" s="68">
        <v>92185.71</v>
      </c>
      <c r="D17" s="143">
        <v>-282.15410000000003</v>
      </c>
    </row>
    <row r="18" spans="1:4" x14ac:dyDescent="0.3">
      <c r="A18" t="s">
        <v>326</v>
      </c>
      <c r="B18" s="83">
        <v>44270</v>
      </c>
      <c r="C18" s="68">
        <v>92040.97</v>
      </c>
      <c r="D18" s="143">
        <v>-151.56665699999999</v>
      </c>
    </row>
    <row r="19" spans="1:4" x14ac:dyDescent="0.3">
      <c r="A19" t="s">
        <v>326</v>
      </c>
      <c r="B19" s="83">
        <v>44271</v>
      </c>
      <c r="C19" s="68">
        <v>92141.78</v>
      </c>
      <c r="D19" s="143">
        <v>183.645476</v>
      </c>
    </row>
    <row r="20" spans="1:4" x14ac:dyDescent="0.3">
      <c r="A20" t="s">
        <v>326</v>
      </c>
      <c r="B20" s="83">
        <v>44272</v>
      </c>
      <c r="C20" s="68">
        <v>92242.51</v>
      </c>
      <c r="D20" s="143">
        <v>183.634208</v>
      </c>
    </row>
    <row r="21" spans="1:4" x14ac:dyDescent="0.3">
      <c r="A21" t="s">
        <v>326</v>
      </c>
      <c r="B21" s="83">
        <v>44273</v>
      </c>
      <c r="C21" s="68">
        <v>91732.25</v>
      </c>
      <c r="D21" s="143">
        <v>-676.11720600000001</v>
      </c>
    </row>
    <row r="22" spans="1:4" x14ac:dyDescent="0.3">
      <c r="A22" t="s">
        <v>326</v>
      </c>
      <c r="B22" s="83">
        <v>44274</v>
      </c>
      <c r="C22" s="68">
        <v>91317.41</v>
      </c>
      <c r="D22" s="143">
        <v>-546.047731</v>
      </c>
    </row>
    <row r="23" spans="1:4" x14ac:dyDescent="0.3">
      <c r="A23" t="s">
        <v>326</v>
      </c>
      <c r="B23" s="83">
        <v>44277</v>
      </c>
      <c r="C23" s="68">
        <v>91206.53</v>
      </c>
      <c r="D23" s="143">
        <v>-118.13743100000001</v>
      </c>
    </row>
    <row r="24" spans="1:4" x14ac:dyDescent="0.3">
      <c r="A24" t="s">
        <v>326</v>
      </c>
      <c r="B24" s="83">
        <v>44278</v>
      </c>
      <c r="C24" s="68">
        <v>90976.08</v>
      </c>
      <c r="D24" s="143">
        <v>-286.93673999999999</v>
      </c>
    </row>
    <row r="25" spans="1:4" x14ac:dyDescent="0.3">
      <c r="A25" t="s">
        <v>326</v>
      </c>
      <c r="B25" s="83">
        <v>44279</v>
      </c>
      <c r="C25" s="68">
        <v>90896.36</v>
      </c>
      <c r="D25" s="143">
        <v>-74.493792999999997</v>
      </c>
    </row>
    <row r="26" spans="1:4" x14ac:dyDescent="0.3">
      <c r="A26" t="s">
        <v>326</v>
      </c>
      <c r="B26" s="83">
        <v>44280</v>
      </c>
      <c r="C26" s="68">
        <v>90787.11</v>
      </c>
      <c r="D26" s="143">
        <v>-116.44543899999999</v>
      </c>
    </row>
    <row r="27" spans="1:4" x14ac:dyDescent="0.3">
      <c r="A27" t="s">
        <v>326</v>
      </c>
      <c r="B27" s="83">
        <v>44281</v>
      </c>
      <c r="C27" s="68">
        <v>90767.62</v>
      </c>
      <c r="D27" s="143">
        <v>93.300721999999993</v>
      </c>
    </row>
    <row r="28" spans="1:4" x14ac:dyDescent="0.3">
      <c r="A28" t="s">
        <v>326</v>
      </c>
      <c r="B28" s="83">
        <v>44284</v>
      </c>
      <c r="C28" s="68">
        <v>90569.99</v>
      </c>
      <c r="D28" s="143">
        <v>-232.241635</v>
      </c>
    </row>
    <row r="29" spans="1:4" x14ac:dyDescent="0.3">
      <c r="A29" t="s">
        <v>326</v>
      </c>
      <c r="B29" s="83">
        <v>44285</v>
      </c>
      <c r="C29" s="68">
        <v>90877.51</v>
      </c>
      <c r="D29" s="143">
        <v>481.45895200000001</v>
      </c>
    </row>
    <row r="30" spans="1:4" x14ac:dyDescent="0.3">
      <c r="A30" t="s">
        <v>326</v>
      </c>
      <c r="B30" s="83">
        <v>44286</v>
      </c>
      <c r="C30" s="68">
        <v>91036.55</v>
      </c>
      <c r="D30" s="143">
        <v>271.92701799999998</v>
      </c>
    </row>
    <row r="31" spans="1:4" x14ac:dyDescent="0.3">
      <c r="A31" t="s">
        <v>326</v>
      </c>
      <c r="B31" s="83">
        <v>44287</v>
      </c>
      <c r="C31" s="68">
        <v>91016.88</v>
      </c>
      <c r="D31" s="143">
        <v>19.374917</v>
      </c>
    </row>
    <row r="32" spans="1:4" x14ac:dyDescent="0.3">
      <c r="A32" t="s">
        <v>326</v>
      </c>
      <c r="B32" s="83">
        <v>44291</v>
      </c>
      <c r="C32" s="68">
        <v>90937.91</v>
      </c>
      <c r="D32" s="143">
        <v>-64.547396000000006</v>
      </c>
    </row>
    <row r="33" spans="1:4" x14ac:dyDescent="0.3">
      <c r="A33" t="s">
        <v>326</v>
      </c>
      <c r="B33" s="83">
        <v>44292</v>
      </c>
      <c r="C33" s="68">
        <v>90859.24</v>
      </c>
      <c r="D33" s="143">
        <v>-64.223844</v>
      </c>
    </row>
    <row r="34" spans="1:4" x14ac:dyDescent="0.3">
      <c r="A34" t="s">
        <v>326</v>
      </c>
      <c r="B34" s="83">
        <v>44293</v>
      </c>
      <c r="C34" s="68">
        <v>90662.82</v>
      </c>
      <c r="D34" s="143">
        <v>-230.85883699999999</v>
      </c>
    </row>
    <row r="35" spans="1:4" x14ac:dyDescent="0.3">
      <c r="A35" t="s">
        <v>326</v>
      </c>
      <c r="B35" s="83">
        <v>44294</v>
      </c>
      <c r="C35" s="68">
        <v>91205.6</v>
      </c>
      <c r="D35" s="143">
        <v>816.04362700000001</v>
      </c>
    </row>
    <row r="36" spans="1:4" x14ac:dyDescent="0.3">
      <c r="A36" t="s">
        <v>326</v>
      </c>
      <c r="B36" s="83">
        <v>44295</v>
      </c>
      <c r="C36" s="68">
        <v>90801.68</v>
      </c>
      <c r="D36" s="143">
        <v>-640.31072300000005</v>
      </c>
    </row>
    <row r="37" spans="1:4" x14ac:dyDescent="0.3">
      <c r="A37" t="s">
        <v>326</v>
      </c>
      <c r="B37" s="83">
        <v>44298</v>
      </c>
      <c r="C37" s="68">
        <v>90841.54</v>
      </c>
      <c r="D37" s="143">
        <v>97.170316</v>
      </c>
    </row>
    <row r="38" spans="1:4" x14ac:dyDescent="0.3">
      <c r="A38" t="s">
        <v>326</v>
      </c>
      <c r="B38" s="83">
        <v>44299</v>
      </c>
      <c r="C38" s="68">
        <v>90616.91</v>
      </c>
      <c r="D38" s="143">
        <v>-277.48735299999998</v>
      </c>
    </row>
    <row r="39" spans="1:4" x14ac:dyDescent="0.3">
      <c r="A39" t="s">
        <v>326</v>
      </c>
      <c r="B39" s="83">
        <v>44300</v>
      </c>
      <c r="C39" s="68">
        <v>90627.54</v>
      </c>
      <c r="D39" s="143">
        <v>55.673918999999998</v>
      </c>
    </row>
    <row r="40" spans="1:4" x14ac:dyDescent="0.3">
      <c r="A40" t="s">
        <v>326</v>
      </c>
      <c r="B40" s="83">
        <v>44301</v>
      </c>
      <c r="C40" s="68">
        <v>90813.97</v>
      </c>
      <c r="D40" s="143">
        <v>305.299936</v>
      </c>
    </row>
    <row r="41" spans="1:4" x14ac:dyDescent="0.3">
      <c r="A41" t="s">
        <v>326</v>
      </c>
      <c r="B41" s="83">
        <v>44302</v>
      </c>
      <c r="C41" s="68">
        <v>91118.080000000002</v>
      </c>
      <c r="D41" s="143">
        <v>441.98639900000001</v>
      </c>
    </row>
    <row r="42" spans="1:4" x14ac:dyDescent="0.3">
      <c r="A42" t="s">
        <v>326</v>
      </c>
      <c r="B42" s="83">
        <v>44305</v>
      </c>
      <c r="C42" s="68">
        <v>91393.279999999999</v>
      </c>
      <c r="D42" s="143">
        <v>401.06733300000002</v>
      </c>
    </row>
    <row r="43" spans="1:4" x14ac:dyDescent="0.3">
      <c r="A43" t="s">
        <v>326</v>
      </c>
      <c r="B43" s="83">
        <v>44306</v>
      </c>
      <c r="C43" s="68">
        <v>91108.98</v>
      </c>
      <c r="D43" s="143">
        <v>-392.781544</v>
      </c>
    </row>
    <row r="44" spans="1:4" x14ac:dyDescent="0.3">
      <c r="A44" t="s">
        <v>326</v>
      </c>
      <c r="B44" s="83">
        <v>44308</v>
      </c>
      <c r="C44" s="68">
        <v>91560.33</v>
      </c>
      <c r="D44" s="143">
        <v>651.30228399999999</v>
      </c>
    </row>
    <row r="45" spans="1:4" x14ac:dyDescent="0.3">
      <c r="A45" t="s">
        <v>326</v>
      </c>
      <c r="B45" s="83">
        <v>44309</v>
      </c>
      <c r="C45" s="68">
        <v>91865.36</v>
      </c>
      <c r="D45" s="143">
        <v>443.69163800000001</v>
      </c>
    </row>
    <row r="46" spans="1:4" x14ac:dyDescent="0.3">
      <c r="A46" t="s">
        <v>326</v>
      </c>
      <c r="B46" s="83">
        <v>44312</v>
      </c>
      <c r="C46" s="68">
        <v>91963.47</v>
      </c>
      <c r="D46" s="143">
        <v>149.922382</v>
      </c>
    </row>
    <row r="47" spans="1:4" x14ac:dyDescent="0.3">
      <c r="A47" t="s">
        <v>326</v>
      </c>
      <c r="B47" s="83">
        <v>44313</v>
      </c>
      <c r="C47" s="68">
        <v>92150.37</v>
      </c>
      <c r="D47" s="143">
        <v>276.30583100000001</v>
      </c>
    </row>
    <row r="48" spans="1:4" x14ac:dyDescent="0.3">
      <c r="A48" t="s">
        <v>326</v>
      </c>
      <c r="B48" s="83">
        <v>44314</v>
      </c>
      <c r="C48" s="68">
        <v>92426.43</v>
      </c>
      <c r="D48" s="143">
        <v>353.06507199999999</v>
      </c>
    </row>
    <row r="49" spans="1:4" x14ac:dyDescent="0.3">
      <c r="A49" t="s">
        <v>326</v>
      </c>
      <c r="B49" s="83">
        <v>44315</v>
      </c>
      <c r="C49" s="68">
        <v>92494.61</v>
      </c>
      <c r="D49" s="143">
        <v>101.476412</v>
      </c>
    </row>
    <row r="50" spans="1:4" x14ac:dyDescent="0.3">
      <c r="A50" t="s">
        <v>326</v>
      </c>
      <c r="B50" s="83">
        <v>44316</v>
      </c>
      <c r="C50" s="68">
        <v>92295.85</v>
      </c>
      <c r="D50" s="143">
        <v>-277.96193299999999</v>
      </c>
    </row>
    <row r="51" spans="1:4" x14ac:dyDescent="0.3">
      <c r="A51" t="s">
        <v>326</v>
      </c>
      <c r="B51" s="83">
        <v>44319</v>
      </c>
      <c r="C51" s="68">
        <v>92157.13</v>
      </c>
      <c r="D51" s="143">
        <v>-192.70751200000001</v>
      </c>
    </row>
    <row r="52" spans="1:4" x14ac:dyDescent="0.3">
      <c r="A52" t="s">
        <v>326</v>
      </c>
      <c r="B52" s="83">
        <v>44320</v>
      </c>
      <c r="C52" s="68">
        <v>91813.5</v>
      </c>
      <c r="D52" s="143">
        <v>-483.69019100000003</v>
      </c>
    </row>
    <row r="53" spans="1:4" x14ac:dyDescent="0.3">
      <c r="A53" t="s">
        <v>326</v>
      </c>
      <c r="B53" s="83">
        <v>44321</v>
      </c>
      <c r="C53" s="68">
        <v>91940.25</v>
      </c>
      <c r="D53" s="143">
        <v>184.517642</v>
      </c>
    </row>
    <row r="54" spans="1:4" x14ac:dyDescent="0.3">
      <c r="A54" t="s">
        <v>326</v>
      </c>
      <c r="B54" s="83">
        <v>44322</v>
      </c>
      <c r="C54" s="68">
        <v>92037.58</v>
      </c>
      <c r="D54" s="143">
        <v>142.952461</v>
      </c>
    </row>
    <row r="55" spans="1:4" x14ac:dyDescent="0.3">
      <c r="A55" t="s">
        <v>326</v>
      </c>
      <c r="B55" s="83">
        <v>44323</v>
      </c>
      <c r="C55" s="68">
        <v>92134.83</v>
      </c>
      <c r="D55" s="143">
        <v>138.83516499999999</v>
      </c>
    </row>
    <row r="56" spans="1:4" x14ac:dyDescent="0.3">
      <c r="A56" t="s">
        <v>326</v>
      </c>
      <c r="B56" s="83">
        <v>44326</v>
      </c>
      <c r="C56" s="68">
        <v>92085.4</v>
      </c>
      <c r="D56" s="143">
        <v>-69.697248999999999</v>
      </c>
    </row>
    <row r="57" spans="1:4" x14ac:dyDescent="0.3">
      <c r="A57" t="s">
        <v>326</v>
      </c>
      <c r="B57" s="83">
        <v>44327</v>
      </c>
      <c r="C57" s="68">
        <v>92446.57</v>
      </c>
      <c r="D57" s="143">
        <v>535.58584599999995</v>
      </c>
    </row>
    <row r="58" spans="1:4" x14ac:dyDescent="0.3">
      <c r="A58" t="s">
        <v>326</v>
      </c>
      <c r="B58" s="83">
        <v>44328</v>
      </c>
      <c r="C58" s="68">
        <v>92133.1</v>
      </c>
      <c r="D58" s="143">
        <v>-443.91819600000002</v>
      </c>
    </row>
    <row r="59" spans="1:4" x14ac:dyDescent="0.3">
      <c r="A59" t="s">
        <v>326</v>
      </c>
      <c r="B59" s="83">
        <v>44329</v>
      </c>
      <c r="C59" s="68">
        <v>92113.11</v>
      </c>
      <c r="D59" s="143">
        <v>-26.703281</v>
      </c>
    </row>
    <row r="60" spans="1:4" x14ac:dyDescent="0.3">
      <c r="A60" t="s">
        <v>326</v>
      </c>
      <c r="B60" s="83">
        <v>44330</v>
      </c>
      <c r="C60" s="68">
        <v>92093.2</v>
      </c>
      <c r="D60" s="143">
        <v>-26.365735000000001</v>
      </c>
    </row>
    <row r="61" spans="1:4" x14ac:dyDescent="0.3">
      <c r="A61" t="s">
        <v>326</v>
      </c>
      <c r="B61" s="83">
        <v>44333</v>
      </c>
      <c r="C61" s="68">
        <v>92306.559999999998</v>
      </c>
      <c r="D61" s="143">
        <v>305.57743199999999</v>
      </c>
    </row>
    <row r="62" spans="1:4" x14ac:dyDescent="0.3">
      <c r="A62" t="s">
        <v>326</v>
      </c>
      <c r="B62" s="83">
        <v>44334</v>
      </c>
      <c r="C62" s="68">
        <v>92199.039999999994</v>
      </c>
      <c r="D62" s="143">
        <v>-124.56281300000001</v>
      </c>
    </row>
    <row r="63" spans="1:4" x14ac:dyDescent="0.3">
      <c r="A63" t="s">
        <v>326</v>
      </c>
      <c r="B63" s="83">
        <v>44335</v>
      </c>
      <c r="C63" s="68">
        <v>92033.94</v>
      </c>
      <c r="D63" s="143">
        <v>-206.87464900000001</v>
      </c>
    </row>
    <row r="64" spans="1:4" x14ac:dyDescent="0.3">
      <c r="A64" t="s">
        <v>326</v>
      </c>
      <c r="B64" s="83">
        <v>44336</v>
      </c>
      <c r="C64" s="68">
        <v>92159.32</v>
      </c>
      <c r="D64" s="143">
        <v>207.01814899999999</v>
      </c>
    </row>
    <row r="65" spans="1:4" x14ac:dyDescent="0.3">
      <c r="A65" t="s">
        <v>326</v>
      </c>
      <c r="B65" s="83">
        <v>44337</v>
      </c>
      <c r="C65" s="68">
        <v>92168.57</v>
      </c>
      <c r="D65" s="143">
        <v>41.626148999999998</v>
      </c>
    </row>
    <row r="66" spans="1:4" x14ac:dyDescent="0.3">
      <c r="A66" t="s">
        <v>326</v>
      </c>
      <c r="B66" s="83">
        <v>44340</v>
      </c>
      <c r="C66" s="68">
        <v>92004.27</v>
      </c>
      <c r="D66" s="143">
        <v>-205.77994699999999</v>
      </c>
    </row>
    <row r="67" spans="1:4" x14ac:dyDescent="0.3">
      <c r="A67" t="s">
        <v>326</v>
      </c>
      <c r="B67" s="83">
        <v>44341</v>
      </c>
      <c r="C67" s="68">
        <v>91869.58</v>
      </c>
      <c r="D67" s="143">
        <v>-163.92531</v>
      </c>
    </row>
    <row r="68" spans="1:4" x14ac:dyDescent="0.3">
      <c r="A68" t="s">
        <v>326</v>
      </c>
      <c r="B68" s="83">
        <v>44342</v>
      </c>
      <c r="C68" s="68">
        <v>91879.18</v>
      </c>
      <c r="D68" s="143">
        <v>46.634082999999997</v>
      </c>
    </row>
    <row r="69" spans="1:4" x14ac:dyDescent="0.3">
      <c r="A69" t="s">
        <v>326</v>
      </c>
      <c r="B69" s="83">
        <v>44343</v>
      </c>
      <c r="C69" s="68">
        <v>92090.2</v>
      </c>
      <c r="D69" s="143">
        <v>330.16189900000001</v>
      </c>
    </row>
    <row r="70" spans="1:4" x14ac:dyDescent="0.3">
      <c r="A70" t="s">
        <v>326</v>
      </c>
      <c r="B70" s="83">
        <v>44344</v>
      </c>
      <c r="C70" s="68">
        <v>92503.69</v>
      </c>
      <c r="D70" s="143">
        <v>619.38504399999999</v>
      </c>
    </row>
    <row r="71" spans="1:4" x14ac:dyDescent="0.3">
      <c r="A71" t="s">
        <v>326</v>
      </c>
      <c r="B71" s="83">
        <v>44347</v>
      </c>
      <c r="C71" s="68">
        <v>92310.5</v>
      </c>
      <c r="D71" s="143">
        <v>-246.69344899999999</v>
      </c>
    </row>
    <row r="72" spans="1:4" x14ac:dyDescent="0.3">
      <c r="A72" t="s">
        <v>326</v>
      </c>
      <c r="B72" s="83">
        <v>44348</v>
      </c>
      <c r="C72" s="68">
        <v>92348.46</v>
      </c>
      <c r="D72" s="143">
        <v>83.374555000000001</v>
      </c>
    </row>
    <row r="73" spans="1:4" x14ac:dyDescent="0.3">
      <c r="A73" t="s">
        <v>326</v>
      </c>
      <c r="B73" s="83">
        <v>44349</v>
      </c>
      <c r="C73" s="68">
        <v>92415.16</v>
      </c>
      <c r="D73" s="143">
        <v>124.462932</v>
      </c>
    </row>
    <row r="74" spans="1:4" x14ac:dyDescent="0.3">
      <c r="A74" t="s">
        <v>326</v>
      </c>
      <c r="B74" s="83">
        <v>44351</v>
      </c>
      <c r="C74" s="68">
        <v>92539.38</v>
      </c>
      <c r="D74" s="143">
        <v>206.98291699999999</v>
      </c>
    </row>
    <row r="75" spans="1:4" x14ac:dyDescent="0.3">
      <c r="A75" t="s">
        <v>326</v>
      </c>
      <c r="B75" s="83">
        <v>44354</v>
      </c>
      <c r="C75" s="68">
        <v>92289.74</v>
      </c>
      <c r="D75" s="143">
        <v>-327.83156500000001</v>
      </c>
    </row>
    <row r="76" spans="1:4" x14ac:dyDescent="0.3">
      <c r="A76" t="s">
        <v>326</v>
      </c>
      <c r="B76" s="83">
        <v>44355</v>
      </c>
      <c r="C76" s="68">
        <v>92356.27</v>
      </c>
      <c r="D76" s="143">
        <v>124.29465500000001</v>
      </c>
    </row>
    <row r="77" spans="1:4" x14ac:dyDescent="0.3">
      <c r="A77" t="s">
        <v>326</v>
      </c>
      <c r="B77" s="83">
        <v>44356</v>
      </c>
      <c r="C77" s="68">
        <v>92250.99</v>
      </c>
      <c r="D77" s="143">
        <v>4.5940079999999996</v>
      </c>
    </row>
    <row r="78" spans="1:4" x14ac:dyDescent="0.3">
      <c r="A78" t="s">
        <v>326</v>
      </c>
      <c r="B78" s="83">
        <v>44357</v>
      </c>
      <c r="C78" s="68">
        <v>91975.3</v>
      </c>
      <c r="D78" s="143">
        <v>-358.19151299999999</v>
      </c>
    </row>
    <row r="79" spans="1:4" x14ac:dyDescent="0.3">
      <c r="A79" t="s">
        <v>326</v>
      </c>
      <c r="B79" s="83">
        <v>44358</v>
      </c>
      <c r="C79" s="68">
        <v>91843.03</v>
      </c>
      <c r="D79" s="143">
        <v>-152.61763099999999</v>
      </c>
    </row>
    <row r="80" spans="1:4" x14ac:dyDescent="0.3">
      <c r="A80" t="s">
        <v>326</v>
      </c>
      <c r="B80" s="83">
        <v>44361</v>
      </c>
      <c r="C80" s="68">
        <v>91824.5</v>
      </c>
      <c r="D80" s="143">
        <v>10.369953000000001</v>
      </c>
    </row>
    <row r="81" spans="1:4" x14ac:dyDescent="0.3">
      <c r="A81" t="s">
        <v>326</v>
      </c>
      <c r="B81" s="83">
        <v>44362</v>
      </c>
      <c r="C81" s="68">
        <v>91693.1</v>
      </c>
      <c r="D81" s="143">
        <v>-151.38089500000001</v>
      </c>
    </row>
    <row r="82" spans="1:4" x14ac:dyDescent="0.3">
      <c r="A82" t="s">
        <v>326</v>
      </c>
      <c r="B82" s="83">
        <v>44363</v>
      </c>
      <c r="C82" s="68">
        <v>91646.73</v>
      </c>
      <c r="D82" s="143">
        <v>-50.535328999999997</v>
      </c>
    </row>
    <row r="83" spans="1:4" x14ac:dyDescent="0.3">
      <c r="A83" t="s">
        <v>326</v>
      </c>
      <c r="B83" s="83">
        <v>44364</v>
      </c>
      <c r="C83" s="68">
        <v>90873.63</v>
      </c>
      <c r="D83" s="143">
        <v>-1094.0984530000001</v>
      </c>
    </row>
    <row r="84" spans="1:4" x14ac:dyDescent="0.3">
      <c r="A84" t="s">
        <v>326</v>
      </c>
      <c r="B84" s="83">
        <v>44365</v>
      </c>
      <c r="C84" s="68">
        <v>90386.33</v>
      </c>
      <c r="D84" s="143">
        <v>-687.63458000000003</v>
      </c>
    </row>
    <row r="85" spans="1:4" x14ac:dyDescent="0.3">
      <c r="A85" t="s">
        <v>326</v>
      </c>
      <c r="B85" s="83">
        <v>44368</v>
      </c>
      <c r="C85" s="68">
        <v>90951.03</v>
      </c>
      <c r="D85" s="143">
        <v>823.15638899999999</v>
      </c>
    </row>
    <row r="86" spans="1:4" x14ac:dyDescent="0.3">
      <c r="A86" t="s">
        <v>326</v>
      </c>
      <c r="B86" s="83">
        <v>44369</v>
      </c>
      <c r="C86" s="68">
        <v>90464.4</v>
      </c>
      <c r="D86" s="143">
        <v>-687.02155000000005</v>
      </c>
    </row>
    <row r="87" spans="1:4" x14ac:dyDescent="0.3">
      <c r="A87" t="s">
        <v>326</v>
      </c>
      <c r="B87" s="83">
        <v>44370</v>
      </c>
      <c r="C87" s="68">
        <v>90558.43</v>
      </c>
      <c r="D87" s="143">
        <v>147.18547799999999</v>
      </c>
    </row>
    <row r="88" spans="1:4" x14ac:dyDescent="0.3">
      <c r="A88" t="s">
        <v>326</v>
      </c>
      <c r="B88" s="83">
        <v>44371</v>
      </c>
      <c r="C88" s="68">
        <v>90679.91</v>
      </c>
      <c r="D88" s="143">
        <v>186.680657</v>
      </c>
    </row>
    <row r="89" spans="1:4" x14ac:dyDescent="0.3">
      <c r="A89" t="s">
        <v>326</v>
      </c>
      <c r="B89" s="83">
        <v>44372</v>
      </c>
      <c r="C89" s="68">
        <v>90801.32</v>
      </c>
      <c r="D89" s="143">
        <v>186.64179200000001</v>
      </c>
    </row>
    <row r="90" spans="1:4" x14ac:dyDescent="0.3">
      <c r="A90" t="s">
        <v>326</v>
      </c>
      <c r="B90" s="83">
        <v>44375</v>
      </c>
      <c r="C90" s="68">
        <v>91143.64</v>
      </c>
      <c r="D90" s="143">
        <v>515.06709899999998</v>
      </c>
    </row>
    <row r="91" spans="1:4" x14ac:dyDescent="0.3">
      <c r="A91" t="s">
        <v>326</v>
      </c>
      <c r="B91" s="83">
        <v>44376</v>
      </c>
      <c r="C91" s="68">
        <v>91099.12</v>
      </c>
      <c r="D91" s="143">
        <v>-50.799348999999999</v>
      </c>
    </row>
    <row r="92" spans="1:4" x14ac:dyDescent="0.3">
      <c r="A92" t="s">
        <v>326</v>
      </c>
      <c r="B92" s="83">
        <v>44377</v>
      </c>
      <c r="C92" s="68">
        <v>90999.67</v>
      </c>
      <c r="D92" s="143">
        <v>-129.87381099999999</v>
      </c>
    </row>
    <row r="93" spans="1:4" x14ac:dyDescent="0.3">
      <c r="A93" t="s">
        <v>326</v>
      </c>
      <c r="B93" s="83">
        <v>44378</v>
      </c>
      <c r="C93" s="68">
        <v>90928.12</v>
      </c>
      <c r="D93" s="143">
        <v>-89.762387000000004</v>
      </c>
    </row>
    <row r="94" spans="1:4" x14ac:dyDescent="0.3">
      <c r="A94" t="s">
        <v>326</v>
      </c>
      <c r="B94" s="83">
        <v>44379</v>
      </c>
      <c r="C94" s="68">
        <v>91131.49</v>
      </c>
      <c r="D94" s="143">
        <v>306.245992</v>
      </c>
    </row>
    <row r="95" spans="1:4" x14ac:dyDescent="0.3">
      <c r="A95" t="s">
        <v>326</v>
      </c>
      <c r="B95" s="83">
        <v>44382</v>
      </c>
      <c r="C95" s="68">
        <v>91087.34</v>
      </c>
      <c r="D95" s="143">
        <v>-50.348692999999997</v>
      </c>
    </row>
    <row r="96" spans="1:4" x14ac:dyDescent="0.3">
      <c r="A96" t="s">
        <v>326</v>
      </c>
      <c r="B96" s="83">
        <v>44383</v>
      </c>
      <c r="C96" s="68">
        <v>90879.09</v>
      </c>
      <c r="D96" s="143">
        <v>-286.54178999999999</v>
      </c>
    </row>
    <row r="97" spans="1:4" x14ac:dyDescent="0.3">
      <c r="A97" t="s">
        <v>326</v>
      </c>
      <c r="B97" s="83">
        <v>44384</v>
      </c>
      <c r="C97" s="68">
        <v>90999.54</v>
      </c>
      <c r="D97" s="143">
        <v>186.74549999999999</v>
      </c>
    </row>
    <row r="98" spans="1:4" x14ac:dyDescent="0.3">
      <c r="A98" t="s">
        <v>326</v>
      </c>
      <c r="B98" s="83">
        <v>44385</v>
      </c>
      <c r="C98" s="68">
        <v>90983.21</v>
      </c>
      <c r="D98" s="143">
        <v>-60.621814000000001</v>
      </c>
    </row>
    <row r="99" spans="1:4" x14ac:dyDescent="0.3">
      <c r="A99" t="s">
        <v>326</v>
      </c>
      <c r="B99" s="83">
        <v>44389</v>
      </c>
      <c r="C99" s="68">
        <v>90814.77</v>
      </c>
      <c r="D99" s="143">
        <v>-222.09938600000001</v>
      </c>
    </row>
    <row r="100" spans="1:4" x14ac:dyDescent="0.3">
      <c r="A100" t="s">
        <v>326</v>
      </c>
      <c r="B100" s="83">
        <v>44390</v>
      </c>
      <c r="C100" s="68">
        <v>90717.52</v>
      </c>
      <c r="D100" s="143">
        <v>-129.77664300000001</v>
      </c>
    </row>
    <row r="101" spans="1:4" x14ac:dyDescent="0.3">
      <c r="A101" t="s">
        <v>326</v>
      </c>
      <c r="B101" s="83">
        <v>44391</v>
      </c>
      <c r="C101" s="68">
        <v>90972.96</v>
      </c>
      <c r="D101" s="143">
        <v>378.57814000000002</v>
      </c>
    </row>
    <row r="102" spans="1:4" x14ac:dyDescent="0.3">
      <c r="A102" t="s">
        <v>326</v>
      </c>
      <c r="B102" s="83">
        <v>44392</v>
      </c>
      <c r="C102" s="68">
        <v>91065.5</v>
      </c>
      <c r="D102" s="143">
        <v>143.932151</v>
      </c>
    </row>
    <row r="103" spans="1:4" x14ac:dyDescent="0.3">
      <c r="A103" t="s">
        <v>326</v>
      </c>
      <c r="B103" s="83">
        <v>44393</v>
      </c>
      <c r="C103" s="68">
        <v>91212.31</v>
      </c>
      <c r="D103" s="143">
        <v>237.10015200000001</v>
      </c>
    </row>
    <row r="104" spans="1:4" x14ac:dyDescent="0.3">
      <c r="A104" t="s">
        <v>326</v>
      </c>
      <c r="B104" s="83">
        <v>44396</v>
      </c>
      <c r="C104" s="68">
        <v>91386.29</v>
      </c>
      <c r="D104" s="143">
        <v>276.43312300000002</v>
      </c>
    </row>
    <row r="105" spans="1:4" x14ac:dyDescent="0.3">
      <c r="A105" t="s">
        <v>326</v>
      </c>
      <c r="B105" s="83">
        <v>44397</v>
      </c>
      <c r="C105" s="68">
        <v>91396.93</v>
      </c>
      <c r="D105" s="143">
        <v>40.707065</v>
      </c>
    </row>
    <row r="106" spans="1:4" x14ac:dyDescent="0.3">
      <c r="A106" t="s">
        <v>326</v>
      </c>
      <c r="B106" s="83">
        <v>44398</v>
      </c>
      <c r="C106" s="68">
        <v>91543.5</v>
      </c>
      <c r="D106" s="143">
        <v>237.048193</v>
      </c>
    </row>
    <row r="107" spans="1:4" x14ac:dyDescent="0.3">
      <c r="A107" t="s">
        <v>326</v>
      </c>
      <c r="B107" s="83">
        <v>44399</v>
      </c>
      <c r="C107" s="68">
        <v>91499.66</v>
      </c>
      <c r="D107" s="143">
        <v>-37.990233000000003</v>
      </c>
    </row>
    <row r="108" spans="1:4" x14ac:dyDescent="0.3">
      <c r="A108" t="s">
        <v>326</v>
      </c>
      <c r="B108" s="83">
        <v>44400</v>
      </c>
      <c r="C108" s="68">
        <v>91104.54</v>
      </c>
      <c r="D108" s="143">
        <v>-545.82711200000006</v>
      </c>
    </row>
    <row r="109" spans="1:4" x14ac:dyDescent="0.3">
      <c r="A109" t="s">
        <v>326</v>
      </c>
      <c r="B109" s="83">
        <v>44403</v>
      </c>
      <c r="C109" s="68">
        <v>90954.17</v>
      </c>
      <c r="D109" s="143">
        <v>-129.85663700000001</v>
      </c>
    </row>
    <row r="110" spans="1:4" x14ac:dyDescent="0.3">
      <c r="A110" t="s">
        <v>326</v>
      </c>
      <c r="B110" s="83">
        <v>44404</v>
      </c>
      <c r="C110" s="68">
        <v>90697.54</v>
      </c>
      <c r="D110" s="143">
        <v>-337.176986</v>
      </c>
    </row>
    <row r="111" spans="1:4" x14ac:dyDescent="0.3">
      <c r="A111" t="s">
        <v>326</v>
      </c>
      <c r="B111" s="83">
        <v>44405</v>
      </c>
      <c r="C111" s="68">
        <v>90602.36</v>
      </c>
      <c r="D111" s="143">
        <v>-103.891668</v>
      </c>
    </row>
    <row r="112" spans="1:4" x14ac:dyDescent="0.3">
      <c r="A112" t="s">
        <v>326</v>
      </c>
      <c r="B112" s="83">
        <v>44406</v>
      </c>
      <c r="C112" s="68">
        <v>90773.99</v>
      </c>
      <c r="D112" s="143">
        <v>282.71887099999998</v>
      </c>
    </row>
    <row r="113" spans="1:4" x14ac:dyDescent="0.3">
      <c r="A113" t="s">
        <v>326</v>
      </c>
      <c r="B113" s="83">
        <v>44407</v>
      </c>
      <c r="C113" s="68">
        <v>90307.28</v>
      </c>
      <c r="D113" s="143">
        <v>-642.192949</v>
      </c>
    </row>
    <row r="114" spans="1:4" x14ac:dyDescent="0.3">
      <c r="A114" t="s">
        <v>326</v>
      </c>
      <c r="B114" s="83">
        <v>44410</v>
      </c>
      <c r="C114" s="68">
        <v>90081.77</v>
      </c>
      <c r="D114" s="143">
        <v>-292.97507899999999</v>
      </c>
    </row>
    <row r="115" spans="1:4" x14ac:dyDescent="0.3">
      <c r="A115" t="s">
        <v>326</v>
      </c>
      <c r="B115" s="83">
        <v>44411</v>
      </c>
      <c r="C115" s="68">
        <v>90225.82</v>
      </c>
      <c r="D115" s="143">
        <v>242.81272000000001</v>
      </c>
    </row>
    <row r="116" spans="1:4" x14ac:dyDescent="0.3">
      <c r="A116" t="s">
        <v>326</v>
      </c>
      <c r="B116" s="83">
        <v>44412</v>
      </c>
      <c r="C116" s="68">
        <v>90132.73</v>
      </c>
      <c r="D116" s="143">
        <v>-101.15043</v>
      </c>
    </row>
    <row r="117" spans="1:4" x14ac:dyDescent="0.3">
      <c r="A117" t="s">
        <v>326</v>
      </c>
      <c r="B117" s="83">
        <v>44413</v>
      </c>
      <c r="C117" s="68">
        <v>89621.72</v>
      </c>
      <c r="D117" s="143">
        <v>-707.91518299999996</v>
      </c>
    </row>
    <row r="118" spans="1:4" x14ac:dyDescent="0.3">
      <c r="A118" t="s">
        <v>326</v>
      </c>
      <c r="B118" s="83">
        <v>44414</v>
      </c>
      <c r="C118" s="68">
        <v>89791.03</v>
      </c>
      <c r="D118" s="143">
        <v>274.86546499999997</v>
      </c>
    </row>
    <row r="119" spans="1:4" x14ac:dyDescent="0.3">
      <c r="A119" t="s">
        <v>326</v>
      </c>
      <c r="B119" s="83">
        <v>44417</v>
      </c>
      <c r="C119" s="68">
        <v>89699.59</v>
      </c>
      <c r="D119" s="143">
        <v>-104.038589</v>
      </c>
    </row>
    <row r="120" spans="1:4" x14ac:dyDescent="0.3">
      <c r="A120" t="s">
        <v>326</v>
      </c>
      <c r="B120" s="83">
        <v>44418</v>
      </c>
      <c r="C120" s="68">
        <v>89660.49</v>
      </c>
      <c r="D120" s="143">
        <v>3.749933</v>
      </c>
    </row>
    <row r="121" spans="1:4" x14ac:dyDescent="0.3">
      <c r="A121" t="s">
        <v>326</v>
      </c>
      <c r="B121" s="83">
        <v>44419</v>
      </c>
      <c r="C121" s="68">
        <v>89595.64</v>
      </c>
      <c r="D121" s="143">
        <v>-63.588445</v>
      </c>
    </row>
    <row r="122" spans="1:4" x14ac:dyDescent="0.3">
      <c r="A122" t="s">
        <v>326</v>
      </c>
      <c r="B122" s="83">
        <v>44420</v>
      </c>
      <c r="C122" s="68">
        <v>89376.13</v>
      </c>
      <c r="D122" s="143">
        <v>-288.920188</v>
      </c>
    </row>
    <row r="123" spans="1:4" x14ac:dyDescent="0.3">
      <c r="A123" t="s">
        <v>326</v>
      </c>
      <c r="B123" s="83">
        <v>44421</v>
      </c>
      <c r="C123" s="68">
        <v>89106.64</v>
      </c>
      <c r="D123" s="143">
        <v>-361.68570699999998</v>
      </c>
    </row>
    <row r="124" spans="1:4" x14ac:dyDescent="0.3">
      <c r="A124" t="s">
        <v>326</v>
      </c>
      <c r="B124" s="83">
        <v>44424</v>
      </c>
      <c r="C124" s="68">
        <v>88915.6</v>
      </c>
      <c r="D124" s="143">
        <v>-247.70929599999999</v>
      </c>
    </row>
    <row r="125" spans="1:4" x14ac:dyDescent="0.3">
      <c r="A125" t="s">
        <v>326</v>
      </c>
      <c r="B125" s="83">
        <v>44425</v>
      </c>
      <c r="C125" s="68">
        <v>89006.07</v>
      </c>
      <c r="D125" s="143">
        <v>139.787091</v>
      </c>
    </row>
    <row r="126" spans="1:4" x14ac:dyDescent="0.3">
      <c r="A126" t="s">
        <v>326</v>
      </c>
      <c r="B126" s="83">
        <v>44426</v>
      </c>
      <c r="C126" s="68">
        <v>88612.88</v>
      </c>
      <c r="D126" s="143">
        <v>-564.93321000000003</v>
      </c>
    </row>
    <row r="127" spans="1:4" x14ac:dyDescent="0.3">
      <c r="A127" t="s">
        <v>326</v>
      </c>
      <c r="B127" s="83">
        <v>44427</v>
      </c>
      <c r="C127" s="68">
        <v>88576.5</v>
      </c>
      <c r="D127" s="143">
        <v>-44.846812999999997</v>
      </c>
    </row>
    <row r="128" spans="1:4" x14ac:dyDescent="0.3">
      <c r="A128" t="s">
        <v>326</v>
      </c>
      <c r="B128" s="83">
        <v>44428</v>
      </c>
      <c r="C128" s="68">
        <v>88920.28</v>
      </c>
      <c r="D128" s="143">
        <v>509.13019400000002</v>
      </c>
    </row>
    <row r="129" spans="1:4" x14ac:dyDescent="0.3">
      <c r="A129" t="s">
        <v>326</v>
      </c>
      <c r="B129" s="83">
        <v>44431</v>
      </c>
      <c r="C129" s="68">
        <v>88579.92</v>
      </c>
      <c r="D129" s="143">
        <v>-488.36624999999998</v>
      </c>
    </row>
    <row r="130" spans="1:4" x14ac:dyDescent="0.3">
      <c r="A130" t="s">
        <v>326</v>
      </c>
      <c r="B130" s="83">
        <v>44432</v>
      </c>
      <c r="C130" s="68">
        <v>88821.56</v>
      </c>
      <c r="D130" s="143">
        <v>360.61647699999997</v>
      </c>
    </row>
    <row r="131" spans="1:4" x14ac:dyDescent="0.3">
      <c r="A131" t="s">
        <v>326</v>
      </c>
      <c r="B131" s="83">
        <v>44433</v>
      </c>
      <c r="C131" s="68">
        <v>89088.81</v>
      </c>
      <c r="D131" s="143">
        <v>397.85675500000002</v>
      </c>
    </row>
    <row r="132" spans="1:4" x14ac:dyDescent="0.3">
      <c r="A132" t="s">
        <v>326</v>
      </c>
      <c r="B132" s="83">
        <v>44434</v>
      </c>
      <c r="C132" s="68">
        <v>89102.61</v>
      </c>
      <c r="D132" s="143">
        <v>82.411612000000005</v>
      </c>
    </row>
    <row r="133" spans="1:4" x14ac:dyDescent="0.3">
      <c r="A133" t="s">
        <v>326</v>
      </c>
      <c r="B133" s="83">
        <v>44435</v>
      </c>
      <c r="C133" s="68">
        <v>89395.33</v>
      </c>
      <c r="D133" s="143">
        <v>442.357215</v>
      </c>
    </row>
    <row r="134" spans="1:4" x14ac:dyDescent="0.3">
      <c r="A134" t="s">
        <v>326</v>
      </c>
      <c r="B134" s="83">
        <v>44438</v>
      </c>
      <c r="C134" s="68">
        <v>89535.82</v>
      </c>
      <c r="D134" s="143">
        <v>220.13029499999999</v>
      </c>
    </row>
    <row r="135" spans="1:4" x14ac:dyDescent="0.3">
      <c r="A135" t="s">
        <v>326</v>
      </c>
      <c r="B135" s="83">
        <v>44439</v>
      </c>
      <c r="C135" s="68">
        <v>89320.960000000006</v>
      </c>
      <c r="D135" s="143">
        <v>-299.08398399999999</v>
      </c>
    </row>
    <row r="136" spans="1:4" x14ac:dyDescent="0.3">
      <c r="A136" t="s">
        <v>326</v>
      </c>
      <c r="B136" s="83">
        <v>44440</v>
      </c>
      <c r="C136" s="68">
        <v>89334.55</v>
      </c>
      <c r="D136" s="143">
        <v>34.718403000000002</v>
      </c>
    </row>
    <row r="137" spans="1:4" x14ac:dyDescent="0.3">
      <c r="A137" t="s">
        <v>326</v>
      </c>
      <c r="B137" s="83">
        <v>44441</v>
      </c>
      <c r="C137" s="68">
        <v>89146.46</v>
      </c>
      <c r="D137" s="143">
        <v>-260.18437</v>
      </c>
    </row>
    <row r="138" spans="1:4" x14ac:dyDescent="0.3">
      <c r="A138" t="s">
        <v>326</v>
      </c>
      <c r="B138" s="83">
        <v>44442</v>
      </c>
      <c r="C138" s="68">
        <v>89135.16</v>
      </c>
      <c r="D138" s="143">
        <v>-1.711409</v>
      </c>
    </row>
    <row r="139" spans="1:4" x14ac:dyDescent="0.3">
      <c r="A139" t="s">
        <v>326</v>
      </c>
      <c r="B139" s="83">
        <v>44445</v>
      </c>
      <c r="C139" s="68">
        <v>89199.26</v>
      </c>
      <c r="D139" s="143">
        <v>108.81837</v>
      </c>
    </row>
    <row r="140" spans="1:4" x14ac:dyDescent="0.3">
      <c r="A140" t="s">
        <v>326</v>
      </c>
      <c r="B140" s="83">
        <v>44447</v>
      </c>
      <c r="C140" s="68">
        <v>88937.63</v>
      </c>
      <c r="D140" s="143">
        <v>-368.12512700000002</v>
      </c>
    </row>
    <row r="141" spans="1:4" x14ac:dyDescent="0.3">
      <c r="A141" t="s">
        <v>326</v>
      </c>
      <c r="B141" s="83">
        <v>44448</v>
      </c>
      <c r="C141" s="68">
        <v>89176.79</v>
      </c>
      <c r="D141" s="143">
        <v>584.41714100000002</v>
      </c>
    </row>
    <row r="142" spans="1:4" x14ac:dyDescent="0.3">
      <c r="A142" t="s">
        <v>326</v>
      </c>
      <c r="B142" s="83">
        <v>44449</v>
      </c>
      <c r="C142" s="68">
        <v>89015.81</v>
      </c>
      <c r="D142" s="143">
        <v>-208.28300200000001</v>
      </c>
    </row>
    <row r="143" spans="1:4" x14ac:dyDescent="0.3">
      <c r="A143" t="s">
        <v>326</v>
      </c>
      <c r="B143" s="83">
        <v>44452</v>
      </c>
      <c r="C143" s="68">
        <v>89054.82</v>
      </c>
      <c r="D143" s="143">
        <v>85.323358999999996</v>
      </c>
    </row>
    <row r="144" spans="1:4" x14ac:dyDescent="0.3">
      <c r="A144" t="s">
        <v>326</v>
      </c>
      <c r="B144" s="83">
        <v>44453</v>
      </c>
      <c r="C144" s="68">
        <v>89418.36</v>
      </c>
      <c r="D144" s="143">
        <v>561.66586900000004</v>
      </c>
    </row>
    <row r="145" spans="1:4" x14ac:dyDescent="0.3">
      <c r="A145" t="s">
        <v>326</v>
      </c>
      <c r="B145" s="83">
        <v>44454</v>
      </c>
      <c r="C145" s="68">
        <v>89407.01</v>
      </c>
      <c r="D145" s="143">
        <v>11.282016</v>
      </c>
    </row>
    <row r="146" spans="1:4" x14ac:dyDescent="0.3">
      <c r="A146" t="s">
        <v>326</v>
      </c>
      <c r="B146" s="83">
        <v>44455</v>
      </c>
      <c r="C146" s="68">
        <v>89345.86</v>
      </c>
      <c r="D146" s="143">
        <v>-54.334901000000002</v>
      </c>
    </row>
    <row r="147" spans="1:4" x14ac:dyDescent="0.3">
      <c r="A147" t="s">
        <v>326</v>
      </c>
      <c r="B147" s="83">
        <v>44456</v>
      </c>
      <c r="C147" s="68">
        <v>89235.25</v>
      </c>
      <c r="D147" s="143">
        <v>-127.159543</v>
      </c>
    </row>
    <row r="148" spans="1:4" x14ac:dyDescent="0.3">
      <c r="A148" t="s">
        <v>326</v>
      </c>
      <c r="B148" s="83">
        <v>44459</v>
      </c>
      <c r="C148" s="68">
        <v>89274</v>
      </c>
      <c r="D148" s="143">
        <v>92.428112999999996</v>
      </c>
    </row>
    <row r="149" spans="1:4" x14ac:dyDescent="0.3">
      <c r="A149" t="s">
        <v>326</v>
      </c>
      <c r="B149" s="83">
        <v>44460</v>
      </c>
      <c r="C149" s="68">
        <v>89511.49</v>
      </c>
      <c r="D149" s="143">
        <v>384.97153300000002</v>
      </c>
    </row>
    <row r="150" spans="1:4" x14ac:dyDescent="0.3">
      <c r="A150" t="s">
        <v>326</v>
      </c>
      <c r="B150" s="83">
        <v>44461</v>
      </c>
      <c r="C150" s="68">
        <v>89400.95</v>
      </c>
      <c r="D150" s="143">
        <v>-127.250209</v>
      </c>
    </row>
    <row r="151" spans="1:4" x14ac:dyDescent="0.3">
      <c r="A151" t="s">
        <v>326</v>
      </c>
      <c r="B151" s="83">
        <v>44462</v>
      </c>
      <c r="C151" s="68">
        <v>89290.95</v>
      </c>
      <c r="D151" s="143">
        <v>-126.573263</v>
      </c>
    </row>
    <row r="152" spans="1:4" x14ac:dyDescent="0.3">
      <c r="A152" t="s">
        <v>326</v>
      </c>
      <c r="B152" s="83">
        <v>44463</v>
      </c>
      <c r="C152" s="68">
        <v>89379.03</v>
      </c>
      <c r="D152" s="143">
        <v>160.48698200000001</v>
      </c>
    </row>
    <row r="153" spans="1:4" x14ac:dyDescent="0.3">
      <c r="A153" t="s">
        <v>326</v>
      </c>
      <c r="B153" s="83">
        <v>44466</v>
      </c>
      <c r="C153" s="68">
        <v>89220.21</v>
      </c>
      <c r="D153" s="143">
        <v>-84.520346000000004</v>
      </c>
    </row>
    <row r="154" spans="1:4" x14ac:dyDescent="0.3">
      <c r="A154" t="s">
        <v>326</v>
      </c>
      <c r="B154" s="83">
        <v>44467</v>
      </c>
      <c r="C154" s="68">
        <v>89185.07</v>
      </c>
      <c r="D154" s="143">
        <v>-6.349939</v>
      </c>
    </row>
    <row r="155" spans="1:4" x14ac:dyDescent="0.3">
      <c r="A155" t="s">
        <v>326</v>
      </c>
      <c r="B155" s="83">
        <v>44468</v>
      </c>
      <c r="C155" s="68">
        <v>89223.75</v>
      </c>
      <c r="D155" s="143">
        <v>102.662953</v>
      </c>
    </row>
    <row r="156" spans="1:4" x14ac:dyDescent="0.3">
      <c r="A156" t="s">
        <v>326</v>
      </c>
      <c r="B156" s="83">
        <v>44469</v>
      </c>
      <c r="C156" s="68">
        <v>89090.79</v>
      </c>
      <c r="D156" s="143">
        <v>-151.06802099999999</v>
      </c>
    </row>
    <row r="157" spans="1:4" x14ac:dyDescent="0.3">
      <c r="A157" t="s">
        <v>326</v>
      </c>
      <c r="B157" s="83">
        <v>44470</v>
      </c>
      <c r="C157" s="68">
        <v>89227.44</v>
      </c>
      <c r="D157" s="143">
        <v>247.56252900000001</v>
      </c>
    </row>
    <row r="158" spans="1:4" x14ac:dyDescent="0.3">
      <c r="A158" t="s">
        <v>326</v>
      </c>
      <c r="B158" s="83">
        <v>44473</v>
      </c>
      <c r="C158" s="68">
        <v>89070.52</v>
      </c>
      <c r="D158" s="143">
        <v>-186.57574399999999</v>
      </c>
    </row>
    <row r="159" spans="1:4" x14ac:dyDescent="0.3">
      <c r="A159" t="s">
        <v>326</v>
      </c>
      <c r="B159" s="83">
        <v>44474</v>
      </c>
      <c r="C159" s="68">
        <v>89011.78</v>
      </c>
      <c r="D159" s="143">
        <v>-41.394928</v>
      </c>
    </row>
    <row r="160" spans="1:4" x14ac:dyDescent="0.3">
      <c r="A160" t="s">
        <v>326</v>
      </c>
      <c r="B160" s="83">
        <v>44475</v>
      </c>
      <c r="C160" s="68">
        <v>89245.42</v>
      </c>
      <c r="D160" s="143">
        <v>391.78406100000001</v>
      </c>
    </row>
    <row r="161" spans="1:4" x14ac:dyDescent="0.3">
      <c r="A161" t="s">
        <v>326</v>
      </c>
      <c r="B161" s="83">
        <v>44476</v>
      </c>
      <c r="C161" s="68">
        <v>89113.54</v>
      </c>
      <c r="D161" s="143">
        <v>-149.89220800000001</v>
      </c>
    </row>
    <row r="162" spans="1:4" x14ac:dyDescent="0.3">
      <c r="A162" t="s">
        <v>326</v>
      </c>
      <c r="B162" s="83">
        <v>44477</v>
      </c>
      <c r="C162" s="68">
        <v>89371.17</v>
      </c>
      <c r="D162" s="143">
        <v>353.82913000000002</v>
      </c>
    </row>
    <row r="163" spans="1:4" x14ac:dyDescent="0.3">
      <c r="A163" t="s">
        <v>326</v>
      </c>
      <c r="B163" s="83">
        <v>44480</v>
      </c>
      <c r="C163" s="68">
        <v>89287.92</v>
      </c>
      <c r="D163" s="143">
        <v>-82.043494999999993</v>
      </c>
    </row>
    <row r="164" spans="1:4" x14ac:dyDescent="0.3">
      <c r="A164" t="s">
        <v>326</v>
      </c>
      <c r="B164" s="83">
        <v>44482</v>
      </c>
      <c r="C164" s="68">
        <v>89253.55</v>
      </c>
      <c r="D164" s="143">
        <v>-9.6190580000000008</v>
      </c>
    </row>
    <row r="165" spans="1:4" x14ac:dyDescent="0.3">
      <c r="A165" t="s">
        <v>326</v>
      </c>
      <c r="B165" s="83">
        <v>44483</v>
      </c>
      <c r="C165" s="68">
        <v>89219.35</v>
      </c>
      <c r="D165" s="143">
        <v>-9.4164060000000003</v>
      </c>
    </row>
    <row r="166" spans="1:4" x14ac:dyDescent="0.3">
      <c r="A166" t="s">
        <v>326</v>
      </c>
      <c r="B166" s="83">
        <v>44484</v>
      </c>
      <c r="C166" s="68">
        <v>89040.48</v>
      </c>
      <c r="D166" s="143">
        <v>-224.46823000000001</v>
      </c>
    </row>
    <row r="167" spans="1:4" x14ac:dyDescent="0.3">
      <c r="A167" t="s">
        <v>326</v>
      </c>
      <c r="B167" s="83">
        <v>44487</v>
      </c>
      <c r="C167" s="68">
        <v>88910.7</v>
      </c>
      <c r="D167" s="143">
        <v>-178.18028000000001</v>
      </c>
    </row>
    <row r="168" spans="1:4" x14ac:dyDescent="0.3">
      <c r="A168" t="s">
        <v>326</v>
      </c>
      <c r="B168" s="83">
        <v>44488</v>
      </c>
      <c r="C168" s="68">
        <v>88280.69</v>
      </c>
      <c r="D168" s="143">
        <v>-921.951187</v>
      </c>
    </row>
    <row r="169" spans="1:4" x14ac:dyDescent="0.3">
      <c r="A169" t="s">
        <v>326</v>
      </c>
      <c r="B169" s="83">
        <v>44489</v>
      </c>
      <c r="C169" s="68">
        <v>88272.49</v>
      </c>
      <c r="D169" s="143">
        <v>2.3950480000000001</v>
      </c>
    </row>
    <row r="170" spans="1:4" x14ac:dyDescent="0.3">
      <c r="A170" t="s">
        <v>326</v>
      </c>
      <c r="B170" s="83">
        <v>44490</v>
      </c>
      <c r="C170" s="68">
        <v>87910.04</v>
      </c>
      <c r="D170" s="143">
        <v>-524.56494399999997</v>
      </c>
    </row>
    <row r="171" spans="1:4" x14ac:dyDescent="0.3">
      <c r="A171" t="s">
        <v>326</v>
      </c>
      <c r="B171" s="83">
        <v>44491</v>
      </c>
      <c r="C171" s="68">
        <v>87503.95</v>
      </c>
      <c r="D171" s="143">
        <v>-589.78725299999996</v>
      </c>
    </row>
    <row r="172" spans="1:4" x14ac:dyDescent="0.3">
      <c r="A172" t="s">
        <v>326</v>
      </c>
      <c r="B172" s="83">
        <v>44494</v>
      </c>
      <c r="C172" s="68">
        <v>87148.04</v>
      </c>
      <c r="D172" s="143">
        <v>-515.56381499999998</v>
      </c>
    </row>
    <row r="173" spans="1:4" x14ac:dyDescent="0.3">
      <c r="A173" t="s">
        <v>326</v>
      </c>
      <c r="B173" s="83">
        <v>44495</v>
      </c>
      <c r="C173" s="68">
        <v>86772.160000000003</v>
      </c>
      <c r="D173" s="143">
        <v>-545.35878200000002</v>
      </c>
    </row>
    <row r="174" spans="1:4" x14ac:dyDescent="0.3">
      <c r="A174" t="s">
        <v>326</v>
      </c>
      <c r="B174" s="83">
        <v>44496</v>
      </c>
      <c r="C174" s="68">
        <v>86697.66</v>
      </c>
      <c r="D174" s="143">
        <v>72.453766999999999</v>
      </c>
    </row>
    <row r="175" spans="1:4" x14ac:dyDescent="0.3">
      <c r="A175" t="s">
        <v>326</v>
      </c>
      <c r="B175" s="83">
        <v>44497</v>
      </c>
      <c r="C175" s="68">
        <v>85803.77</v>
      </c>
      <c r="D175" s="143">
        <v>-1298.8254710000001</v>
      </c>
    </row>
    <row r="176" spans="1:4" x14ac:dyDescent="0.3">
      <c r="A176" t="s">
        <v>326</v>
      </c>
      <c r="B176" s="83">
        <v>44498</v>
      </c>
      <c r="C176" s="68">
        <v>86526.9</v>
      </c>
      <c r="D176" s="143">
        <v>1108.2993329999999</v>
      </c>
    </row>
    <row r="177" spans="1:4" x14ac:dyDescent="0.3">
      <c r="A177" t="s">
        <v>326</v>
      </c>
      <c r="B177" s="83">
        <v>44501</v>
      </c>
      <c r="C177" s="68">
        <v>86226.06</v>
      </c>
      <c r="D177" s="143">
        <v>-420.98726900000003</v>
      </c>
    </row>
    <row r="178" spans="1:4" x14ac:dyDescent="0.3">
      <c r="A178" t="s">
        <v>326</v>
      </c>
      <c r="B178" s="83">
        <v>44503</v>
      </c>
      <c r="C178" s="68">
        <v>86859.64</v>
      </c>
      <c r="D178" s="143">
        <v>975.599514</v>
      </c>
    </row>
    <row r="179" spans="1:4" x14ac:dyDescent="0.3">
      <c r="A179" t="s">
        <v>326</v>
      </c>
      <c r="B179" s="83">
        <v>44504</v>
      </c>
      <c r="C179" s="68">
        <v>86694.43</v>
      </c>
      <c r="D179" s="143">
        <v>-218.47364899999999</v>
      </c>
    </row>
    <row r="180" spans="1:4" x14ac:dyDescent="0.3">
      <c r="A180" t="s">
        <v>326</v>
      </c>
      <c r="B180" s="83">
        <v>44505</v>
      </c>
      <c r="C180" s="68">
        <v>86712.17</v>
      </c>
      <c r="D180" s="143">
        <v>54.930725000000002</v>
      </c>
    </row>
    <row r="181" spans="1:4" x14ac:dyDescent="0.3">
      <c r="A181" t="s">
        <v>326</v>
      </c>
      <c r="B181" s="83">
        <v>44508</v>
      </c>
      <c r="C181" s="68">
        <v>86798.2</v>
      </c>
      <c r="D181" s="143">
        <v>157.41904</v>
      </c>
    </row>
    <row r="182" spans="1:4" x14ac:dyDescent="0.3">
      <c r="A182" t="s">
        <v>326</v>
      </c>
      <c r="B182" s="83">
        <v>44509</v>
      </c>
      <c r="C182" s="68">
        <v>86952.48</v>
      </c>
      <c r="D182" s="143">
        <v>259.75767000000002</v>
      </c>
    </row>
    <row r="183" spans="1:4" x14ac:dyDescent="0.3">
      <c r="A183" t="s">
        <v>326</v>
      </c>
      <c r="B183" s="83">
        <v>44510</v>
      </c>
      <c r="C183" s="68">
        <v>86810.8</v>
      </c>
      <c r="D183" s="143">
        <v>57.038947999999998</v>
      </c>
    </row>
    <row r="184" spans="1:4" x14ac:dyDescent="0.3">
      <c r="A184" t="s">
        <v>326</v>
      </c>
      <c r="B184" s="83">
        <v>44511</v>
      </c>
      <c r="C184" s="68">
        <v>87032.97</v>
      </c>
      <c r="D184" s="143">
        <v>376.68182200000001</v>
      </c>
    </row>
    <row r="185" spans="1:4" x14ac:dyDescent="0.3">
      <c r="A185" t="s">
        <v>326</v>
      </c>
      <c r="B185" s="83">
        <v>44512</v>
      </c>
      <c r="C185" s="68">
        <v>87323.72</v>
      </c>
      <c r="D185" s="143">
        <v>480.31025699999998</v>
      </c>
    </row>
    <row r="186" spans="1:4" x14ac:dyDescent="0.3">
      <c r="A186" t="s">
        <v>326</v>
      </c>
      <c r="B186" s="83">
        <v>44516</v>
      </c>
      <c r="C186" s="68">
        <v>87204.2</v>
      </c>
      <c r="D186" s="143">
        <v>-136.81577899999999</v>
      </c>
    </row>
    <row r="187" spans="1:4" x14ac:dyDescent="0.3">
      <c r="A187" t="s">
        <v>326</v>
      </c>
      <c r="B187" s="83">
        <v>44517</v>
      </c>
      <c r="C187" s="68">
        <v>87130.67</v>
      </c>
      <c r="D187" s="143">
        <v>-87.580245000000005</v>
      </c>
    </row>
    <row r="188" spans="1:4" x14ac:dyDescent="0.3">
      <c r="A188" t="s">
        <v>326</v>
      </c>
      <c r="B188" s="83">
        <v>44518</v>
      </c>
      <c r="C188" s="68">
        <v>87148.06</v>
      </c>
      <c r="D188" s="143">
        <v>49.473413999999998</v>
      </c>
    </row>
    <row r="189" spans="1:4" x14ac:dyDescent="0.3">
      <c r="A189" t="s">
        <v>326</v>
      </c>
      <c r="B189" s="83">
        <v>44519</v>
      </c>
      <c r="C189" s="68">
        <v>87324.07</v>
      </c>
      <c r="D189" s="143">
        <v>288.46680900000001</v>
      </c>
    </row>
    <row r="190" spans="1:4" x14ac:dyDescent="0.3">
      <c r="A190" t="s">
        <v>326</v>
      </c>
      <c r="B190" s="83">
        <v>44522</v>
      </c>
      <c r="C190" s="68">
        <v>87047.41</v>
      </c>
      <c r="D190" s="143">
        <v>-393.972711</v>
      </c>
    </row>
    <row r="191" spans="1:4" x14ac:dyDescent="0.3">
      <c r="A191" t="s">
        <v>326</v>
      </c>
      <c r="B191" s="83">
        <v>44523</v>
      </c>
      <c r="C191" s="68">
        <v>87245.440000000002</v>
      </c>
      <c r="D191" s="143">
        <v>321.87150700000001</v>
      </c>
    </row>
    <row r="192" spans="1:4" x14ac:dyDescent="0.3">
      <c r="A192" t="s">
        <v>326</v>
      </c>
      <c r="B192" s="83">
        <v>44524</v>
      </c>
      <c r="C192" s="68">
        <v>87398.3</v>
      </c>
      <c r="D192" s="143">
        <v>253.89713399999999</v>
      </c>
    </row>
    <row r="193" spans="1:4" x14ac:dyDescent="0.3">
      <c r="A193" t="s">
        <v>326</v>
      </c>
      <c r="B193" s="83">
        <v>44525</v>
      </c>
      <c r="C193" s="68">
        <v>87415.49</v>
      </c>
      <c r="D193" s="143">
        <v>49.438662999999998</v>
      </c>
    </row>
    <row r="194" spans="1:4" x14ac:dyDescent="0.3">
      <c r="A194" t="s">
        <v>326</v>
      </c>
      <c r="B194" s="83">
        <v>44526</v>
      </c>
      <c r="C194" s="68">
        <v>87658.59</v>
      </c>
      <c r="D194" s="143">
        <v>435.17352</v>
      </c>
    </row>
    <row r="195" spans="1:4" x14ac:dyDescent="0.3">
      <c r="A195" t="s">
        <v>326</v>
      </c>
      <c r="B195" s="83">
        <v>44529</v>
      </c>
      <c r="C195" s="68">
        <v>87833.91</v>
      </c>
      <c r="D195" s="143">
        <v>293.98524900000001</v>
      </c>
    </row>
    <row r="196" spans="1:4" x14ac:dyDescent="0.3">
      <c r="A196" t="s">
        <v>326</v>
      </c>
      <c r="B196" s="83">
        <v>44530</v>
      </c>
      <c r="C196" s="68">
        <v>88031.91</v>
      </c>
      <c r="D196" s="143">
        <v>328.67793899999998</v>
      </c>
    </row>
    <row r="197" spans="1:4" x14ac:dyDescent="0.3">
      <c r="A197" t="s">
        <v>326</v>
      </c>
      <c r="B197" s="83">
        <v>44531</v>
      </c>
      <c r="C197" s="68">
        <v>87799.57</v>
      </c>
      <c r="D197" s="143">
        <v>-322.50586399999997</v>
      </c>
    </row>
    <row r="198" spans="1:4" x14ac:dyDescent="0.3">
      <c r="A198" t="s">
        <v>326</v>
      </c>
      <c r="B198" s="83">
        <v>44532</v>
      </c>
      <c r="C198" s="68">
        <v>88064.88</v>
      </c>
      <c r="D198" s="143">
        <v>430.82352800000001</v>
      </c>
    </row>
    <row r="199" spans="1:4" x14ac:dyDescent="0.3">
      <c r="A199" t="s">
        <v>326</v>
      </c>
      <c r="B199" s="83">
        <v>44533</v>
      </c>
      <c r="C199" s="68">
        <v>88535.08</v>
      </c>
      <c r="D199" s="143">
        <v>741.44488799999999</v>
      </c>
    </row>
    <row r="200" spans="1:4" x14ac:dyDescent="0.3">
      <c r="A200" t="s">
        <v>326</v>
      </c>
      <c r="B200" s="83">
        <v>44536</v>
      </c>
      <c r="C200" s="68">
        <v>88188.22</v>
      </c>
      <c r="D200" s="143">
        <v>-496.261955</v>
      </c>
    </row>
    <row r="201" spans="1:4" x14ac:dyDescent="0.3">
      <c r="A201" t="s">
        <v>326</v>
      </c>
      <c r="B201" s="83">
        <v>44537</v>
      </c>
      <c r="C201" s="68">
        <v>88069.26</v>
      </c>
      <c r="D201" s="143">
        <v>-151.106236</v>
      </c>
    </row>
    <row r="202" spans="1:4" x14ac:dyDescent="0.3">
      <c r="A202" t="s">
        <v>326</v>
      </c>
      <c r="B202" s="83">
        <v>44538</v>
      </c>
      <c r="C202" s="68">
        <v>88108.32</v>
      </c>
      <c r="D202" s="143">
        <v>88.440663000000001</v>
      </c>
    </row>
    <row r="203" spans="1:4" x14ac:dyDescent="0.3">
      <c r="A203" t="s">
        <v>326</v>
      </c>
      <c r="B203" s="83">
        <v>44539</v>
      </c>
      <c r="C203" s="68">
        <v>87833.25</v>
      </c>
      <c r="D203" s="143">
        <v>-388.07861100000002</v>
      </c>
    </row>
    <row r="204" spans="1:4" x14ac:dyDescent="0.3">
      <c r="A204" t="s">
        <v>326</v>
      </c>
      <c r="B204" s="83">
        <v>44540</v>
      </c>
      <c r="C204" s="68">
        <v>88074.06</v>
      </c>
      <c r="D204" s="143">
        <v>240.18826300000001</v>
      </c>
    </row>
    <row r="205" spans="1:4" x14ac:dyDescent="0.3">
      <c r="A205" t="s">
        <v>326</v>
      </c>
      <c r="B205" s="83">
        <v>44543</v>
      </c>
      <c r="C205" s="68">
        <v>87911.73</v>
      </c>
      <c r="D205" s="143">
        <v>-232.42872399999999</v>
      </c>
    </row>
    <row r="206" spans="1:4" x14ac:dyDescent="0.3">
      <c r="A206" t="s">
        <v>326</v>
      </c>
      <c r="B206" s="83">
        <v>44544</v>
      </c>
      <c r="C206" s="68">
        <v>87839.41</v>
      </c>
      <c r="D206" s="143">
        <v>-96.149980999999997</v>
      </c>
    </row>
    <row r="207" spans="1:4" x14ac:dyDescent="0.3">
      <c r="A207" t="s">
        <v>326</v>
      </c>
      <c r="B207" s="83">
        <v>44545</v>
      </c>
      <c r="C207" s="68">
        <v>87811.91</v>
      </c>
      <c r="D207" s="143">
        <v>-27.932984999999999</v>
      </c>
    </row>
    <row r="208" spans="1:4" x14ac:dyDescent="0.3">
      <c r="A208" t="s">
        <v>326</v>
      </c>
      <c r="B208" s="83">
        <v>44546</v>
      </c>
      <c r="C208" s="68">
        <v>87651.56</v>
      </c>
      <c r="D208" s="143">
        <v>-250.01356799999999</v>
      </c>
    </row>
    <row r="209" spans="1:4" x14ac:dyDescent="0.3">
      <c r="A209" t="s">
        <v>326</v>
      </c>
      <c r="B209" s="83">
        <v>44547</v>
      </c>
      <c r="C209" s="68">
        <v>87426.04</v>
      </c>
      <c r="D209" s="143">
        <v>-349.34812399999998</v>
      </c>
    </row>
    <row r="210" spans="1:4" x14ac:dyDescent="0.3">
      <c r="A210" t="s">
        <v>326</v>
      </c>
      <c r="B210" s="83">
        <v>44550</v>
      </c>
      <c r="C210" s="68">
        <v>87531.69</v>
      </c>
      <c r="D210" s="143">
        <v>154.232913</v>
      </c>
    </row>
    <row r="211" spans="1:4" x14ac:dyDescent="0.3">
      <c r="A211" t="s">
        <v>326</v>
      </c>
      <c r="B211" s="83">
        <v>44551</v>
      </c>
      <c r="C211" s="68">
        <v>87725.440000000002</v>
      </c>
      <c r="D211" s="143">
        <v>288.24106</v>
      </c>
    </row>
    <row r="212" spans="1:4" x14ac:dyDescent="0.3">
      <c r="A212" t="s">
        <v>326</v>
      </c>
      <c r="B212" s="83">
        <v>44552</v>
      </c>
      <c r="C212" s="68">
        <v>87808.83</v>
      </c>
      <c r="D212" s="143">
        <v>120.417796</v>
      </c>
    </row>
    <row r="213" spans="1:4" x14ac:dyDescent="0.3">
      <c r="A213" t="s">
        <v>326</v>
      </c>
      <c r="B213" s="83">
        <v>44553</v>
      </c>
      <c r="C213" s="68">
        <v>87826</v>
      </c>
      <c r="D213" s="143">
        <v>19.690151</v>
      </c>
    </row>
    <row r="214" spans="1:4" x14ac:dyDescent="0.3">
      <c r="A214" t="s">
        <v>326</v>
      </c>
      <c r="B214" s="83">
        <v>44557</v>
      </c>
      <c r="C214" s="68">
        <v>87948.29</v>
      </c>
      <c r="D214" s="143">
        <v>140.97382999999999</v>
      </c>
    </row>
    <row r="215" spans="1:4" x14ac:dyDescent="0.3">
      <c r="A215" t="s">
        <v>326</v>
      </c>
      <c r="B215" s="83">
        <v>44558</v>
      </c>
      <c r="C215" s="68">
        <v>87943.38</v>
      </c>
      <c r="D215" s="143">
        <v>-18.134166</v>
      </c>
    </row>
    <row r="216" spans="1:4" x14ac:dyDescent="0.3">
      <c r="A216" t="s">
        <v>326</v>
      </c>
      <c r="B216" s="83">
        <v>44559</v>
      </c>
      <c r="C216" s="68">
        <v>87807.11</v>
      </c>
      <c r="D216" s="143">
        <v>-218.00365099999999</v>
      </c>
    </row>
    <row r="217" spans="1:4" x14ac:dyDescent="0.3">
      <c r="A217" t="s">
        <v>326</v>
      </c>
      <c r="B217" s="83">
        <v>44560</v>
      </c>
      <c r="C217" s="68">
        <v>87911.89</v>
      </c>
      <c r="D217" s="143">
        <v>149.17328599999999</v>
      </c>
    </row>
    <row r="218" spans="1:4" x14ac:dyDescent="0.3">
      <c r="A218" t="s">
        <v>326</v>
      </c>
      <c r="B218" s="83">
        <v>44564</v>
      </c>
      <c r="C218" s="68">
        <v>88033.64</v>
      </c>
      <c r="D218" s="143">
        <v>164.373772</v>
      </c>
    </row>
    <row r="219" spans="1:4" x14ac:dyDescent="0.3">
      <c r="A219" t="s">
        <v>326</v>
      </c>
      <c r="B219" s="83">
        <v>44565</v>
      </c>
      <c r="C219" s="68">
        <v>87854.57</v>
      </c>
      <c r="D219" s="143">
        <v>-283.53869600000002</v>
      </c>
    </row>
    <row r="220" spans="1:4" x14ac:dyDescent="0.3">
      <c r="A220" t="s">
        <v>326</v>
      </c>
      <c r="B220" s="83">
        <v>44566</v>
      </c>
      <c r="C220" s="68">
        <v>87525.16</v>
      </c>
      <c r="D220" s="143">
        <v>-512.87683700000002</v>
      </c>
    </row>
    <row r="221" spans="1:4" x14ac:dyDescent="0.3">
      <c r="A221" t="s">
        <v>326</v>
      </c>
      <c r="B221" s="83">
        <v>44567</v>
      </c>
      <c r="C221" s="68">
        <v>87456.69</v>
      </c>
      <c r="D221" s="143">
        <v>-114.928721</v>
      </c>
    </row>
    <row r="222" spans="1:4" x14ac:dyDescent="0.3">
      <c r="A222" t="s">
        <v>326</v>
      </c>
      <c r="B222" s="83">
        <v>44568</v>
      </c>
      <c r="C222" s="68">
        <v>87173.97</v>
      </c>
      <c r="D222" s="143">
        <v>-441.87886500000002</v>
      </c>
    </row>
    <row r="223" spans="1:4" x14ac:dyDescent="0.3">
      <c r="A223" t="s">
        <v>326</v>
      </c>
      <c r="B223" s="83">
        <v>44571</v>
      </c>
      <c r="C223" s="68">
        <v>87320.8</v>
      </c>
      <c r="D223" s="143">
        <v>213.63446099999999</v>
      </c>
    </row>
    <row r="224" spans="1:4" x14ac:dyDescent="0.3">
      <c r="A224" t="s">
        <v>326</v>
      </c>
      <c r="B224" s="83">
        <v>44572</v>
      </c>
      <c r="C224" s="68">
        <v>87146.55</v>
      </c>
      <c r="D224" s="143">
        <v>-156.12008599999999</v>
      </c>
    </row>
    <row r="225" spans="1:4" x14ac:dyDescent="0.3">
      <c r="A225" t="s">
        <v>326</v>
      </c>
      <c r="B225" s="83">
        <v>44573</v>
      </c>
      <c r="C225" s="68">
        <v>87421.3</v>
      </c>
      <c r="D225" s="143">
        <v>415.76832000000002</v>
      </c>
    </row>
    <row r="226" spans="1:4" x14ac:dyDescent="0.3">
      <c r="A226" t="s">
        <v>326</v>
      </c>
      <c r="B226" s="83">
        <v>44574</v>
      </c>
      <c r="C226" s="68">
        <v>87439.38</v>
      </c>
      <c r="D226" s="143">
        <v>23.409641000000001</v>
      </c>
    </row>
    <row r="227" spans="1:4" x14ac:dyDescent="0.3">
      <c r="A227" t="s">
        <v>326</v>
      </c>
      <c r="B227" s="83">
        <v>44575</v>
      </c>
      <c r="C227" s="68">
        <v>87414.79</v>
      </c>
      <c r="D227" s="143">
        <v>-41.649034</v>
      </c>
    </row>
    <row r="228" spans="1:4" x14ac:dyDescent="0.3">
      <c r="A228" t="s">
        <v>326</v>
      </c>
      <c r="B228" s="83">
        <v>44578</v>
      </c>
      <c r="C228" s="68">
        <v>87241.49</v>
      </c>
      <c r="D228" s="143">
        <v>-269.41946100000001</v>
      </c>
    </row>
    <row r="229" spans="1:4" x14ac:dyDescent="0.3">
      <c r="A229" t="s">
        <v>326</v>
      </c>
      <c r="B229" s="83">
        <v>44579</v>
      </c>
      <c r="C229" s="68">
        <v>87238.69</v>
      </c>
      <c r="D229" s="143">
        <v>-22.08277</v>
      </c>
    </row>
    <row r="230" spans="1:4" x14ac:dyDescent="0.3">
      <c r="A230" t="s">
        <v>326</v>
      </c>
      <c r="B230" s="83">
        <v>44580</v>
      </c>
      <c r="C230" s="68">
        <v>87533.01</v>
      </c>
      <c r="D230" s="143">
        <v>432.703689</v>
      </c>
    </row>
    <row r="231" spans="1:4" x14ac:dyDescent="0.3">
      <c r="A231" t="s">
        <v>326</v>
      </c>
      <c r="B231" s="83">
        <v>44581</v>
      </c>
      <c r="C231" s="68">
        <v>87636.1</v>
      </c>
      <c r="D231" s="143">
        <v>139.948024</v>
      </c>
    </row>
    <row r="232" spans="1:4" x14ac:dyDescent="0.3">
      <c r="A232" t="s">
        <v>326</v>
      </c>
      <c r="B232" s="83">
        <v>44582</v>
      </c>
      <c r="C232" s="68">
        <v>87632.83</v>
      </c>
      <c r="D232" s="143">
        <v>-22.908546999999999</v>
      </c>
    </row>
    <row r="233" spans="1:4" x14ac:dyDescent="0.3">
      <c r="A233" t="s">
        <v>326</v>
      </c>
      <c r="B233" s="83">
        <v>44585</v>
      </c>
      <c r="C233" s="68">
        <v>87778.17</v>
      </c>
      <c r="D233" s="143">
        <v>204.68937199999999</v>
      </c>
    </row>
    <row r="234" spans="1:4" x14ac:dyDescent="0.3">
      <c r="A234" t="s">
        <v>326</v>
      </c>
      <c r="B234" s="83">
        <v>44586</v>
      </c>
      <c r="C234" s="68">
        <v>87668.82</v>
      </c>
      <c r="D234" s="143">
        <v>-185.476213</v>
      </c>
    </row>
    <row r="235" spans="1:4" x14ac:dyDescent="0.3">
      <c r="A235" t="s">
        <v>326</v>
      </c>
      <c r="B235" s="83">
        <v>44587</v>
      </c>
      <c r="C235" s="68">
        <v>87665.68</v>
      </c>
      <c r="D235" s="143">
        <v>-22.754691999999999</v>
      </c>
    </row>
    <row r="236" spans="1:4" x14ac:dyDescent="0.3">
      <c r="A236" t="s">
        <v>326</v>
      </c>
      <c r="B236" s="83">
        <v>44588</v>
      </c>
      <c r="C236" s="68">
        <v>87262.9</v>
      </c>
      <c r="D236" s="143">
        <v>-635.25980900000002</v>
      </c>
    </row>
    <row r="237" spans="1:4" x14ac:dyDescent="0.3">
      <c r="A237" t="s">
        <v>326</v>
      </c>
      <c r="B237" s="83">
        <v>44589</v>
      </c>
      <c r="C237" s="68">
        <v>87365.33</v>
      </c>
      <c r="D237" s="143">
        <v>145.508917</v>
      </c>
    </row>
    <row r="238" spans="1:4" x14ac:dyDescent="0.3">
      <c r="A238" t="s">
        <v>326</v>
      </c>
      <c r="B238" s="83">
        <v>44592</v>
      </c>
      <c r="C238" s="68">
        <v>87216.53</v>
      </c>
      <c r="D238" s="143">
        <v>-239.64343299999999</v>
      </c>
    </row>
    <row r="239" spans="1:4" x14ac:dyDescent="0.3">
      <c r="A239" t="s">
        <v>326</v>
      </c>
      <c r="B239" s="83">
        <v>44593</v>
      </c>
      <c r="C239" s="68">
        <v>87402.33</v>
      </c>
      <c r="D239" s="143">
        <v>273.509028</v>
      </c>
    </row>
    <row r="240" spans="1:4" x14ac:dyDescent="0.3">
      <c r="A240" t="s">
        <v>326</v>
      </c>
      <c r="B240" s="83">
        <v>44594</v>
      </c>
      <c r="C240" s="68">
        <v>87567.2</v>
      </c>
      <c r="D240" s="143">
        <v>241.41065800000001</v>
      </c>
    </row>
    <row r="241" spans="1:4" x14ac:dyDescent="0.3">
      <c r="A241" t="s">
        <v>326</v>
      </c>
      <c r="B241" s="83">
        <v>44595</v>
      </c>
      <c r="C241" s="68">
        <v>88047.1</v>
      </c>
      <c r="D241" s="143">
        <v>725.31232699999998</v>
      </c>
    </row>
    <row r="242" spans="1:4" x14ac:dyDescent="0.3">
      <c r="A242" t="s">
        <v>326</v>
      </c>
      <c r="B242" s="83">
        <v>44596</v>
      </c>
      <c r="C242" s="68">
        <v>87833.88</v>
      </c>
      <c r="D242" s="143">
        <v>-346.48081200000001</v>
      </c>
    </row>
    <row r="243" spans="1:4" x14ac:dyDescent="0.3">
      <c r="A243" t="s">
        <v>326</v>
      </c>
      <c r="B243" s="83">
        <v>44599</v>
      </c>
      <c r="C243" s="68">
        <v>87956.59</v>
      </c>
      <c r="D243" s="143">
        <v>169.45317499999999</v>
      </c>
    </row>
    <row r="244" spans="1:4" x14ac:dyDescent="0.3">
      <c r="A244" t="s">
        <v>326</v>
      </c>
      <c r="B244" s="83">
        <v>44600</v>
      </c>
      <c r="C244" s="68">
        <v>87786.36</v>
      </c>
      <c r="D244" s="143">
        <v>-280.39619399999998</v>
      </c>
    </row>
    <row r="245" spans="1:4" x14ac:dyDescent="0.3">
      <c r="A245" t="s">
        <v>326</v>
      </c>
      <c r="B245" s="83">
        <v>44601</v>
      </c>
      <c r="C245" s="68">
        <v>87513.43</v>
      </c>
      <c r="D245" s="143">
        <v>-449.24249200000003</v>
      </c>
    </row>
    <row r="246" spans="1:4" x14ac:dyDescent="0.3">
      <c r="A246" t="s">
        <v>326</v>
      </c>
      <c r="B246" s="83">
        <v>44602</v>
      </c>
      <c r="C246" s="68">
        <v>87469.85</v>
      </c>
      <c r="D246" s="143">
        <v>-86.430571</v>
      </c>
    </row>
    <row r="247" spans="1:4" x14ac:dyDescent="0.3">
      <c r="A247" t="s">
        <v>326</v>
      </c>
      <c r="B247" s="83">
        <v>44603</v>
      </c>
      <c r="C247" s="68">
        <v>87323.37</v>
      </c>
      <c r="D247" s="143">
        <v>-244.87483800000001</v>
      </c>
    </row>
    <row r="248" spans="1:4" x14ac:dyDescent="0.3">
      <c r="A248" t="s">
        <v>326</v>
      </c>
      <c r="B248" s="83">
        <v>44606</v>
      </c>
      <c r="C248" s="68">
        <v>87465.83</v>
      </c>
      <c r="D248" s="143">
        <v>199.66263599999999</v>
      </c>
    </row>
    <row r="249" spans="1:4" x14ac:dyDescent="0.3">
      <c r="A249" t="s">
        <v>326</v>
      </c>
      <c r="B249" s="83">
        <v>44607</v>
      </c>
      <c r="C249" s="68">
        <v>87649.48</v>
      </c>
      <c r="D249" s="143">
        <v>263.02921500000002</v>
      </c>
    </row>
    <row r="250" spans="1:4" x14ac:dyDescent="0.3">
      <c r="A250" t="s">
        <v>326</v>
      </c>
      <c r="B250" s="83">
        <v>44608</v>
      </c>
      <c r="C250" s="68">
        <v>87626.72</v>
      </c>
      <c r="D250" s="143">
        <v>-22.777643999999999</v>
      </c>
    </row>
    <row r="251" spans="1:4" x14ac:dyDescent="0.3">
      <c r="A251" t="s">
        <v>326</v>
      </c>
      <c r="B251" s="83">
        <v>44609</v>
      </c>
      <c r="C251" s="68">
        <v>87521.9</v>
      </c>
      <c r="D251" s="143">
        <v>-149.190011</v>
      </c>
    </row>
    <row r="252" spans="1:4" x14ac:dyDescent="0.3">
      <c r="A252" t="s">
        <v>326</v>
      </c>
      <c r="B252" s="83">
        <v>44610</v>
      </c>
      <c r="C252" s="68">
        <v>87499.59</v>
      </c>
      <c r="D252" s="143">
        <v>-22.199252999999999</v>
      </c>
    </row>
    <row r="253" spans="1:4" x14ac:dyDescent="0.3">
      <c r="A253" t="s">
        <v>326</v>
      </c>
      <c r="B253" s="83">
        <v>44613</v>
      </c>
      <c r="C253" s="68">
        <v>87477.43</v>
      </c>
      <c r="D253" s="143">
        <v>-21.794053000000002</v>
      </c>
    </row>
    <row r="254" spans="1:4" x14ac:dyDescent="0.3">
      <c r="A254" t="s">
        <v>326</v>
      </c>
      <c r="B254" s="83">
        <v>44614</v>
      </c>
      <c r="C254" s="68">
        <v>87353.44</v>
      </c>
      <c r="D254" s="143">
        <v>-179.07971800000001</v>
      </c>
    </row>
    <row r="255" spans="1:4" x14ac:dyDescent="0.3">
      <c r="A255" t="s">
        <v>326</v>
      </c>
      <c r="B255" s="83">
        <v>44615</v>
      </c>
      <c r="C255" s="68">
        <v>87535.47</v>
      </c>
      <c r="D255" s="143">
        <v>293.13627500000001</v>
      </c>
    </row>
    <row r="256" spans="1:4" x14ac:dyDescent="0.3">
      <c r="A256" t="s">
        <v>326</v>
      </c>
      <c r="B256" s="83">
        <v>44616</v>
      </c>
      <c r="C256" s="68">
        <v>87452.479999999996</v>
      </c>
      <c r="D256" s="143">
        <v>-89.774758000000006</v>
      </c>
    </row>
    <row r="257" spans="1:4" x14ac:dyDescent="0.3">
      <c r="A257" t="s">
        <v>326</v>
      </c>
      <c r="B257" s="83">
        <v>44617</v>
      </c>
      <c r="C257" s="68">
        <v>87552.73</v>
      </c>
      <c r="D257" s="143">
        <v>170.810991</v>
      </c>
    </row>
    <row r="258" spans="1:4" x14ac:dyDescent="0.3">
      <c r="A258" t="s">
        <v>326</v>
      </c>
      <c r="B258" s="83">
        <v>44622</v>
      </c>
      <c r="C258" s="68">
        <v>87530.95</v>
      </c>
      <c r="D258" s="143">
        <v>-17.711258000000001</v>
      </c>
    </row>
    <row r="259" spans="1:4" x14ac:dyDescent="0.3">
      <c r="A259" t="s">
        <v>326</v>
      </c>
      <c r="B259" s="83">
        <v>44623</v>
      </c>
      <c r="C259" s="68">
        <v>87549.85</v>
      </c>
      <c r="D259" s="143">
        <v>45.352685999999999</v>
      </c>
    </row>
    <row r="260" spans="1:4" x14ac:dyDescent="0.3">
      <c r="A260" t="s">
        <v>326</v>
      </c>
      <c r="B260" s="83">
        <v>44624</v>
      </c>
      <c r="C260" s="68">
        <v>87306.19</v>
      </c>
      <c r="D260" s="143">
        <v>-361.075919</v>
      </c>
    </row>
    <row r="261" spans="1:4" x14ac:dyDescent="0.3">
      <c r="A261" t="s">
        <v>326</v>
      </c>
      <c r="B261" s="83">
        <v>44627</v>
      </c>
      <c r="C261" s="68">
        <v>87245.01</v>
      </c>
      <c r="D261" s="143">
        <v>-78.664151000000004</v>
      </c>
    </row>
    <row r="262" spans="1:4" x14ac:dyDescent="0.3">
      <c r="A262" t="s">
        <v>326</v>
      </c>
      <c r="B262" s="83">
        <v>44628</v>
      </c>
      <c r="C262" s="68">
        <v>87505.73</v>
      </c>
      <c r="D262" s="143">
        <v>419.77581300000003</v>
      </c>
    </row>
    <row r="263" spans="1:4" x14ac:dyDescent="0.3">
      <c r="A263" t="s">
        <v>326</v>
      </c>
      <c r="B263" s="83">
        <v>44629</v>
      </c>
      <c r="C263" s="68">
        <v>87625.47</v>
      </c>
      <c r="D263" s="143">
        <v>201.54444100000001</v>
      </c>
    </row>
    <row r="264" spans="1:4" x14ac:dyDescent="0.3">
      <c r="A264" t="s">
        <v>326</v>
      </c>
      <c r="B264" s="83">
        <v>44630</v>
      </c>
      <c r="C264" s="68">
        <v>87584.04</v>
      </c>
      <c r="D264" s="143">
        <v>-48.214719000000002</v>
      </c>
    </row>
    <row r="265" spans="1:4" x14ac:dyDescent="0.3">
      <c r="A265" t="s">
        <v>326</v>
      </c>
      <c r="B265" s="83">
        <v>44631</v>
      </c>
      <c r="C265" s="68">
        <v>87542.84</v>
      </c>
      <c r="D265" s="143">
        <v>35.861893999999999</v>
      </c>
    </row>
    <row r="266" spans="1:4" x14ac:dyDescent="0.3">
      <c r="A266" t="s">
        <v>326</v>
      </c>
      <c r="B266" s="83">
        <v>44634</v>
      </c>
      <c r="C266" s="68">
        <v>87421.89</v>
      </c>
      <c r="D266" s="143">
        <v>-166.444377</v>
      </c>
    </row>
    <row r="267" spans="1:4" x14ac:dyDescent="0.3">
      <c r="A267" t="s">
        <v>326</v>
      </c>
      <c r="B267" s="83">
        <v>44635</v>
      </c>
      <c r="C267" s="68">
        <v>87641.07</v>
      </c>
      <c r="D267" s="143">
        <v>361.89788700000003</v>
      </c>
    </row>
    <row r="268" spans="1:4" x14ac:dyDescent="0.3">
      <c r="A268" t="s">
        <v>326</v>
      </c>
      <c r="B268" s="83">
        <v>44636</v>
      </c>
      <c r="C268" s="68">
        <v>87400.74</v>
      </c>
      <c r="D268" s="143">
        <v>-372.84857799999997</v>
      </c>
    </row>
    <row r="269" spans="1:4" x14ac:dyDescent="0.3">
      <c r="A269" t="s">
        <v>326</v>
      </c>
      <c r="B269" s="83">
        <v>44637</v>
      </c>
      <c r="C269" s="68">
        <v>87879.06</v>
      </c>
      <c r="D269" s="143">
        <v>744.52325800000006</v>
      </c>
    </row>
    <row r="270" spans="1:4" x14ac:dyDescent="0.3">
      <c r="A270" t="s">
        <v>326</v>
      </c>
      <c r="B270" s="83">
        <v>44638</v>
      </c>
      <c r="C270" s="68">
        <v>88138.25</v>
      </c>
      <c r="D270" s="143">
        <v>399.054531</v>
      </c>
    </row>
    <row r="271" spans="1:4" x14ac:dyDescent="0.3">
      <c r="A271" t="s">
        <v>326</v>
      </c>
      <c r="B271" s="83">
        <v>44641</v>
      </c>
      <c r="C271" s="68">
        <v>88256.960000000006</v>
      </c>
      <c r="D271" s="143">
        <v>180.53543999999999</v>
      </c>
    </row>
    <row r="272" spans="1:4" x14ac:dyDescent="0.3">
      <c r="A272" t="s">
        <v>326</v>
      </c>
      <c r="B272" s="83">
        <v>44642</v>
      </c>
      <c r="C272" s="68">
        <v>88455.93</v>
      </c>
      <c r="D272" s="143">
        <v>305.55585300000001</v>
      </c>
    </row>
    <row r="273" spans="1:4" x14ac:dyDescent="0.3">
      <c r="A273" t="s">
        <v>326</v>
      </c>
      <c r="B273" s="83">
        <v>44643</v>
      </c>
      <c r="C273" s="68">
        <v>88554.29</v>
      </c>
      <c r="D273" s="143">
        <v>149.15649400000001</v>
      </c>
    </row>
    <row r="274" spans="1:4" x14ac:dyDescent="0.3">
      <c r="A274" t="s">
        <v>326</v>
      </c>
      <c r="B274" s="83">
        <v>44644</v>
      </c>
      <c r="C274" s="68">
        <v>89076.1</v>
      </c>
      <c r="D274" s="143">
        <v>808.80447200000003</v>
      </c>
    </row>
    <row r="275" spans="1:4" x14ac:dyDescent="0.3">
      <c r="A275" t="s">
        <v>326</v>
      </c>
      <c r="B275" s="83">
        <v>44645</v>
      </c>
      <c r="C275" s="68">
        <v>89559.76</v>
      </c>
      <c r="D275" s="143">
        <v>749.83446400000003</v>
      </c>
    </row>
    <row r="276" spans="1:4" x14ac:dyDescent="0.3">
      <c r="A276" t="s">
        <v>326</v>
      </c>
      <c r="B276" s="83">
        <v>44648</v>
      </c>
      <c r="C276" s="68">
        <v>89353</v>
      </c>
      <c r="D276" s="143">
        <v>-143.05385200000001</v>
      </c>
    </row>
    <row r="277" spans="1:4" x14ac:dyDescent="0.3">
      <c r="A277" t="s">
        <v>326</v>
      </c>
      <c r="B277" s="83">
        <v>44649</v>
      </c>
      <c r="C277" s="68">
        <v>89047</v>
      </c>
      <c r="D277" s="143">
        <v>-462.04032100000001</v>
      </c>
    </row>
    <row r="278" spans="1:4" x14ac:dyDescent="0.3">
      <c r="A278" t="s">
        <v>326</v>
      </c>
      <c r="B278" s="83">
        <v>44650</v>
      </c>
      <c r="C278" s="68">
        <v>88843.64</v>
      </c>
      <c r="D278" s="143">
        <v>-301.71496999999999</v>
      </c>
    </row>
    <row r="279" spans="1:4" x14ac:dyDescent="0.3">
      <c r="A279" t="s">
        <v>326</v>
      </c>
      <c r="B279" s="83">
        <v>44651</v>
      </c>
      <c r="C279" s="68">
        <v>88761.37</v>
      </c>
      <c r="D279" s="143">
        <v>-112.556594</v>
      </c>
    </row>
    <row r="280" spans="1:4" x14ac:dyDescent="0.3">
      <c r="A280" t="s">
        <v>326</v>
      </c>
      <c r="B280" s="83">
        <v>44652</v>
      </c>
      <c r="C280" s="68">
        <v>89138.92</v>
      </c>
      <c r="D280" s="143">
        <v>606.946056</v>
      </c>
    </row>
    <row r="281" spans="1:4" x14ac:dyDescent="0.3">
      <c r="A281" t="s">
        <v>326</v>
      </c>
      <c r="B281" s="83">
        <v>44655</v>
      </c>
      <c r="C281" s="68">
        <v>89116.13</v>
      </c>
      <c r="D281" s="143">
        <v>-19.573563</v>
      </c>
    </row>
    <row r="282" spans="1:4" x14ac:dyDescent="0.3">
      <c r="A282" t="s">
        <v>326</v>
      </c>
      <c r="B282" s="83">
        <v>44656</v>
      </c>
      <c r="C282" s="68">
        <v>88854.41</v>
      </c>
      <c r="D282" s="143">
        <v>-393.771906</v>
      </c>
    </row>
    <row r="283" spans="1:4" x14ac:dyDescent="0.3">
      <c r="A283" t="s">
        <v>326</v>
      </c>
      <c r="B283" s="83">
        <v>44657</v>
      </c>
      <c r="C283" s="68">
        <v>88852.26</v>
      </c>
      <c r="D283" s="143">
        <v>12.823131999999999</v>
      </c>
    </row>
    <row r="284" spans="1:4" x14ac:dyDescent="0.3">
      <c r="A284" t="s">
        <v>326</v>
      </c>
      <c r="B284" s="83">
        <v>44658</v>
      </c>
      <c r="C284" s="68">
        <v>88889.83</v>
      </c>
      <c r="D284" s="143">
        <v>74.863788999999997</v>
      </c>
    </row>
    <row r="285" spans="1:4" x14ac:dyDescent="0.3">
      <c r="A285" t="s">
        <v>326</v>
      </c>
      <c r="B285" s="83">
        <v>44659</v>
      </c>
      <c r="C285" s="68">
        <v>88690.16</v>
      </c>
      <c r="D285" s="143">
        <v>68.235446999999994</v>
      </c>
    </row>
    <row r="286" spans="1:4" x14ac:dyDescent="0.3">
      <c r="A286" t="s">
        <v>326</v>
      </c>
      <c r="B286" s="83">
        <v>44662</v>
      </c>
      <c r="C286" s="68">
        <v>88217.71</v>
      </c>
      <c r="D286" s="143">
        <v>-707.37781900000004</v>
      </c>
    </row>
    <row r="287" spans="1:4" x14ac:dyDescent="0.3">
      <c r="A287" t="s">
        <v>326</v>
      </c>
      <c r="B287" s="83">
        <v>44663</v>
      </c>
      <c r="C287" s="68">
        <v>88216.98</v>
      </c>
      <c r="D287" s="143">
        <v>35.153309</v>
      </c>
    </row>
    <row r="288" spans="1:4" x14ac:dyDescent="0.3">
      <c r="A288" t="s">
        <v>326</v>
      </c>
      <c r="B288" s="83">
        <v>44664</v>
      </c>
      <c r="C288" s="68">
        <v>88372.29</v>
      </c>
      <c r="D288" s="143">
        <v>281.375945</v>
      </c>
    </row>
    <row r="289" spans="1:4" x14ac:dyDescent="0.3">
      <c r="A289" t="s">
        <v>326</v>
      </c>
      <c r="B289" s="83">
        <v>44665</v>
      </c>
      <c r="C289" s="68">
        <v>88527.49</v>
      </c>
      <c r="D289" s="143">
        <v>281.39911899999998</v>
      </c>
    </row>
    <row r="290" spans="1:4" x14ac:dyDescent="0.3">
      <c r="A290" t="s">
        <v>326</v>
      </c>
      <c r="B290" s="83">
        <v>44669</v>
      </c>
      <c r="C290" s="68">
        <v>88663.05</v>
      </c>
      <c r="D290" s="143">
        <v>250.56873300000001</v>
      </c>
    </row>
    <row r="291" spans="1:4" x14ac:dyDescent="0.3">
      <c r="A291" t="s">
        <v>326</v>
      </c>
      <c r="B291" s="83">
        <v>44670</v>
      </c>
      <c r="C291" s="68">
        <v>88564.32</v>
      </c>
      <c r="D291" s="143">
        <v>-161.32582500000001</v>
      </c>
    </row>
    <row r="292" spans="1:4" x14ac:dyDescent="0.3">
      <c r="A292" t="s">
        <v>326</v>
      </c>
      <c r="B292" s="83">
        <v>44671</v>
      </c>
      <c r="C292" s="68">
        <v>88602.19</v>
      </c>
      <c r="D292" s="143">
        <v>54.470959000000001</v>
      </c>
    </row>
    <row r="293" spans="1:4" x14ac:dyDescent="0.3">
      <c r="A293" t="s">
        <v>326</v>
      </c>
      <c r="B293" s="83">
        <v>44673</v>
      </c>
      <c r="C293" s="68">
        <v>88542.93</v>
      </c>
      <c r="D293" s="143">
        <v>-99.310253000000003</v>
      </c>
    </row>
    <row r="294" spans="1:4" x14ac:dyDescent="0.3">
      <c r="A294" t="s">
        <v>326</v>
      </c>
      <c r="B294" s="83">
        <v>44676</v>
      </c>
      <c r="C294" s="68">
        <v>88600.2</v>
      </c>
      <c r="D294" s="143">
        <v>85.369505000000004</v>
      </c>
    </row>
    <row r="295" spans="1:4" x14ac:dyDescent="0.3">
      <c r="A295" t="s">
        <v>326</v>
      </c>
      <c r="B295" s="83">
        <v>44677</v>
      </c>
      <c r="C295" s="68">
        <v>88444.73</v>
      </c>
      <c r="D295" s="143">
        <v>-251.43249700000001</v>
      </c>
    </row>
    <row r="296" spans="1:4" x14ac:dyDescent="0.3">
      <c r="A296" t="s">
        <v>326</v>
      </c>
      <c r="B296" s="83">
        <v>44678</v>
      </c>
      <c r="C296" s="68">
        <v>88579.18</v>
      </c>
      <c r="D296" s="143">
        <v>207.32606000000001</v>
      </c>
    </row>
    <row r="297" spans="1:4" x14ac:dyDescent="0.3">
      <c r="A297" t="s">
        <v>326</v>
      </c>
      <c r="B297" s="83">
        <v>44679</v>
      </c>
      <c r="C297" s="68">
        <v>88694.19</v>
      </c>
      <c r="D297" s="143">
        <v>268.87588</v>
      </c>
    </row>
    <row r="298" spans="1:4" x14ac:dyDescent="0.3">
      <c r="A298" t="s">
        <v>326</v>
      </c>
      <c r="B298" s="83">
        <v>44680</v>
      </c>
      <c r="C298"/>
      <c r="D298"/>
    </row>
    <row r="299" spans="1:4" x14ac:dyDescent="0.3">
      <c r="A299" t="s">
        <v>326</v>
      </c>
      <c r="B299" s="83">
        <v>44683</v>
      </c>
      <c r="C299">
        <v>88596.43</v>
      </c>
      <c r="D299">
        <v>-54.336188999999997</v>
      </c>
    </row>
    <row r="300" spans="1:4" x14ac:dyDescent="0.3">
      <c r="A300" t="s">
        <v>326</v>
      </c>
      <c r="B300" s="83">
        <v>44684</v>
      </c>
      <c r="C300">
        <v>88787.89</v>
      </c>
      <c r="D300">
        <v>311.67483700000003</v>
      </c>
    </row>
    <row r="301" spans="1:4" x14ac:dyDescent="0.3">
      <c r="A301" t="s">
        <v>326</v>
      </c>
      <c r="B301" s="83">
        <v>44685</v>
      </c>
      <c r="C301">
        <v>89172.15</v>
      </c>
      <c r="D301">
        <v>617.67099700000006</v>
      </c>
    </row>
    <row r="302" spans="1:4" x14ac:dyDescent="0.3">
      <c r="A302" t="s">
        <v>326</v>
      </c>
      <c r="B302" s="83">
        <v>44686</v>
      </c>
      <c r="C302">
        <v>88939.76</v>
      </c>
      <c r="D302">
        <v>-361.25205</v>
      </c>
    </row>
    <row r="303" spans="1:4" x14ac:dyDescent="0.3">
      <c r="A303" t="s">
        <v>326</v>
      </c>
      <c r="B303" s="83">
        <v>44687</v>
      </c>
      <c r="C303">
        <v>88881.29</v>
      </c>
      <c r="D303">
        <v>-90.103245999999999</v>
      </c>
    </row>
    <row r="304" spans="1:4" x14ac:dyDescent="0.3">
      <c r="A304" t="s">
        <v>326</v>
      </c>
      <c r="B304" s="83">
        <v>44690</v>
      </c>
      <c r="C304">
        <v>88804.06</v>
      </c>
      <c r="D304">
        <v>-120.006029</v>
      </c>
    </row>
    <row r="305" spans="1:4" x14ac:dyDescent="0.3">
      <c r="A305" t="s">
        <v>326</v>
      </c>
      <c r="B305" s="83">
        <v>44691</v>
      </c>
      <c r="C305">
        <v>88594.17</v>
      </c>
      <c r="D305">
        <v>-331.13341700000001</v>
      </c>
    </row>
    <row r="306" spans="1:4" x14ac:dyDescent="0.3">
      <c r="A306" t="s">
        <v>326</v>
      </c>
      <c r="B306" s="83">
        <v>44692</v>
      </c>
      <c r="C306">
        <v>88707.9</v>
      </c>
      <c r="D306">
        <v>324.86728099999999</v>
      </c>
    </row>
    <row r="307" spans="1:4" x14ac:dyDescent="0.3">
      <c r="A307" t="s">
        <v>326</v>
      </c>
      <c r="B307" s="83">
        <v>44693</v>
      </c>
      <c r="C307">
        <v>88688.66</v>
      </c>
      <c r="D307">
        <v>-18.952065000000001</v>
      </c>
    </row>
    <row r="308" spans="1:4" x14ac:dyDescent="0.3">
      <c r="A308" t="s">
        <v>326</v>
      </c>
      <c r="B308" s="83">
        <v>44694</v>
      </c>
      <c r="C308">
        <v>88821.05</v>
      </c>
      <c r="D308">
        <v>222.81439800000001</v>
      </c>
    </row>
    <row r="309" spans="1:4" x14ac:dyDescent="0.3">
      <c r="A309" t="s">
        <v>326</v>
      </c>
      <c r="B309" s="83">
        <v>44697</v>
      </c>
      <c r="C309">
        <v>88953.31</v>
      </c>
      <c r="D309">
        <v>222.69868299999999</v>
      </c>
    </row>
    <row r="310" spans="1:4" x14ac:dyDescent="0.3">
      <c r="A310" t="s">
        <v>326</v>
      </c>
      <c r="B310" s="83">
        <v>44698</v>
      </c>
      <c r="C310">
        <v>88933.85</v>
      </c>
      <c r="D310">
        <v>-68.582375999999996</v>
      </c>
    </row>
    <row r="311" spans="1:4" x14ac:dyDescent="0.3">
      <c r="A311" t="s">
        <v>326</v>
      </c>
      <c r="B311" s="83">
        <v>44699</v>
      </c>
      <c r="C311">
        <v>88857.91</v>
      </c>
      <c r="D311">
        <v>-158.76048800000001</v>
      </c>
    </row>
    <row r="312" spans="1:4" x14ac:dyDescent="0.3">
      <c r="A312" t="s">
        <v>326</v>
      </c>
      <c r="B312" s="83">
        <v>44700</v>
      </c>
      <c r="C312">
        <v>88726.03</v>
      </c>
      <c r="D312">
        <v>-247.858846</v>
      </c>
    </row>
    <row r="313" spans="1:4" x14ac:dyDescent="0.3">
      <c r="A313" t="s">
        <v>326</v>
      </c>
      <c r="B313" s="83">
        <v>44701</v>
      </c>
      <c r="C313">
        <v>88744.88</v>
      </c>
      <c r="D313">
        <v>-7.362412</v>
      </c>
    </row>
    <row r="314" spans="1:4" x14ac:dyDescent="0.3">
      <c r="A314" t="s">
        <v>326</v>
      </c>
      <c r="B314" s="83">
        <v>44704</v>
      </c>
      <c r="C314">
        <v>88595.4</v>
      </c>
      <c r="D314">
        <v>-276.26773600000001</v>
      </c>
    </row>
    <row r="315" spans="1:4" x14ac:dyDescent="0.3">
      <c r="A315" t="s">
        <v>326</v>
      </c>
      <c r="B315" s="83">
        <v>44705</v>
      </c>
      <c r="C315">
        <v>88428.31</v>
      </c>
      <c r="D315">
        <v>-304.39713799999998</v>
      </c>
    </row>
    <row r="316" spans="1:4" x14ac:dyDescent="0.3">
      <c r="A316" t="s">
        <v>326</v>
      </c>
      <c r="B316" s="83">
        <v>44706</v>
      </c>
      <c r="C316">
        <v>88373.52</v>
      </c>
      <c r="D316">
        <v>-66.590847999999994</v>
      </c>
    </row>
    <row r="317" spans="1:4" x14ac:dyDescent="0.3">
      <c r="A317" t="s">
        <v>326</v>
      </c>
      <c r="B317" s="83">
        <v>44707</v>
      </c>
      <c r="C317">
        <v>88448.63</v>
      </c>
      <c r="D317">
        <v>91.118854999999996</v>
      </c>
    </row>
    <row r="318" spans="1:4" x14ac:dyDescent="0.3">
      <c r="A318" t="s">
        <v>326</v>
      </c>
      <c r="B318" s="83">
        <v>44708</v>
      </c>
      <c r="C318">
        <v>88320.27</v>
      </c>
      <c r="D318">
        <v>-234.36826400000001</v>
      </c>
    </row>
    <row r="319" spans="1:4" x14ac:dyDescent="0.3">
      <c r="A319" t="s">
        <v>326</v>
      </c>
      <c r="B319" s="83">
        <v>44711</v>
      </c>
      <c r="C319">
        <v>88211.12</v>
      </c>
      <c r="D319">
        <v>-203.66304500000001</v>
      </c>
    </row>
    <row r="320" spans="1:4" x14ac:dyDescent="0.3">
      <c r="A320" t="s">
        <v>326</v>
      </c>
      <c r="B320" s="83">
        <v>44712</v>
      </c>
      <c r="C320">
        <v>88599.29</v>
      </c>
      <c r="D320">
        <v>592.21941700000002</v>
      </c>
    </row>
    <row r="321" spans="1:4" x14ac:dyDescent="0.3">
      <c r="A321" t="s">
        <v>326</v>
      </c>
      <c r="B321" s="83">
        <v>44713</v>
      </c>
      <c r="C321">
        <v>88747.839999999997</v>
      </c>
      <c r="D321">
        <v>208.65446299999999</v>
      </c>
    </row>
    <row r="322" spans="1:4" x14ac:dyDescent="0.3">
      <c r="A322" t="s">
        <v>326</v>
      </c>
      <c r="B322" s="83">
        <v>44714</v>
      </c>
      <c r="C322">
        <v>88693.21</v>
      </c>
      <c r="D322">
        <v>-116.46091300000001</v>
      </c>
    </row>
    <row r="323" spans="1:4" x14ac:dyDescent="0.3">
      <c r="A323" t="s">
        <v>326</v>
      </c>
      <c r="B323" s="83">
        <v>44715</v>
      </c>
      <c r="C323">
        <v>88786.09</v>
      </c>
      <c r="D323">
        <v>119.551261</v>
      </c>
    </row>
    <row r="324" spans="1:4" x14ac:dyDescent="0.3">
      <c r="A324" t="s">
        <v>326</v>
      </c>
      <c r="B324" s="83">
        <v>44718</v>
      </c>
      <c r="C324">
        <v>88805.22</v>
      </c>
      <c r="D324">
        <v>1.3938550000000001</v>
      </c>
    </row>
    <row r="325" spans="1:4" x14ac:dyDescent="0.3">
      <c r="A325" t="s">
        <v>326</v>
      </c>
      <c r="B325" s="83">
        <v>44719</v>
      </c>
      <c r="C325">
        <v>88567.84</v>
      </c>
      <c r="D325">
        <v>-409.48676999999998</v>
      </c>
    </row>
    <row r="326" spans="1:4" x14ac:dyDescent="0.3">
      <c r="A326" t="s">
        <v>326</v>
      </c>
      <c r="B326" s="83">
        <v>44720</v>
      </c>
      <c r="C326">
        <v>88569.14</v>
      </c>
      <c r="D326">
        <v>-27.154651000000001</v>
      </c>
    </row>
    <row r="327" spans="1:4" x14ac:dyDescent="0.3">
      <c r="A327" t="s">
        <v>326</v>
      </c>
      <c r="B327" s="83">
        <v>44721</v>
      </c>
      <c r="C327">
        <v>88497.69</v>
      </c>
      <c r="D327">
        <v>-282.60277500000001</v>
      </c>
    </row>
    <row r="328" spans="1:4" x14ac:dyDescent="0.3">
      <c r="A328" t="s">
        <v>326</v>
      </c>
      <c r="B328" s="83">
        <v>44722</v>
      </c>
      <c r="C328">
        <v>88571.94</v>
      </c>
      <c r="D328">
        <v>82.272712999999996</v>
      </c>
    </row>
    <row r="329" spans="1:4" x14ac:dyDescent="0.3">
      <c r="A329" t="s">
        <v>326</v>
      </c>
      <c r="B329" s="83">
        <v>44725</v>
      </c>
      <c r="C329">
        <v>88319.94</v>
      </c>
      <c r="D329">
        <v>-440.58563500000002</v>
      </c>
    </row>
    <row r="330" spans="1:4" x14ac:dyDescent="0.3">
      <c r="A330" t="s">
        <v>326</v>
      </c>
      <c r="B330" s="83">
        <v>44726</v>
      </c>
      <c r="C330">
        <v>88340.03</v>
      </c>
      <c r="D330">
        <v>-4.680402</v>
      </c>
    </row>
    <row r="331" spans="1:4" x14ac:dyDescent="0.3">
      <c r="A331" t="s">
        <v>326</v>
      </c>
      <c r="B331" s="83">
        <v>44727</v>
      </c>
      <c r="C331">
        <v>88739.57</v>
      </c>
      <c r="D331">
        <v>603.86884499999996</v>
      </c>
    </row>
    <row r="332" spans="1:4" x14ac:dyDescent="0.3">
      <c r="A332" t="s">
        <v>326</v>
      </c>
      <c r="B332" s="83">
        <v>44729</v>
      </c>
      <c r="C332">
        <v>88904</v>
      </c>
      <c r="D332">
        <v>239.70616000000001</v>
      </c>
    </row>
    <row r="333" spans="1:4" x14ac:dyDescent="0.3">
      <c r="A333" t="s">
        <v>326</v>
      </c>
      <c r="B333" s="83">
        <v>44732</v>
      </c>
      <c r="C333">
        <v>88742.43</v>
      </c>
      <c r="D333">
        <v>-285.75525499999998</v>
      </c>
    </row>
    <row r="334" spans="1:4" x14ac:dyDescent="0.3">
      <c r="A334" t="s">
        <v>326</v>
      </c>
      <c r="B334" s="83">
        <v>44733</v>
      </c>
      <c r="C334">
        <v>88510.14</v>
      </c>
      <c r="D334">
        <v>-399.29314599999998</v>
      </c>
    </row>
    <row r="335" spans="1:4" x14ac:dyDescent="0.3">
      <c r="A335" t="s">
        <v>326</v>
      </c>
      <c r="B335" s="83">
        <v>44734</v>
      </c>
      <c r="C335"/>
      <c r="D335"/>
    </row>
    <row r="336" spans="1:4" x14ac:dyDescent="0.3">
      <c r="A336" t="s">
        <v>326</v>
      </c>
      <c r="B336" s="83">
        <v>44735</v>
      </c>
      <c r="C336">
        <v>88460.69</v>
      </c>
      <c r="D336">
        <v>149.42248699999999</v>
      </c>
    </row>
    <row r="337" spans="1:4" x14ac:dyDescent="0.3">
      <c r="A337" t="s">
        <v>326</v>
      </c>
      <c r="B337" s="83">
        <v>44736</v>
      </c>
      <c r="C337">
        <v>88552.2</v>
      </c>
      <c r="D337">
        <v>120.460875</v>
      </c>
    </row>
    <row r="338" spans="1:4" x14ac:dyDescent="0.3">
      <c r="A338" t="s">
        <v>326</v>
      </c>
      <c r="B338" s="83">
        <v>44739</v>
      </c>
      <c r="C338">
        <v>88536.57</v>
      </c>
      <c r="D338">
        <v>-9.1738719999999994</v>
      </c>
    </row>
    <row r="339" spans="1:4" x14ac:dyDescent="0.3">
      <c r="A339" t="s">
        <v>326</v>
      </c>
      <c r="B339" s="83">
        <v>44740</v>
      </c>
      <c r="C339">
        <v>88219.59</v>
      </c>
      <c r="D339">
        <v>-530.22481800000003</v>
      </c>
    </row>
    <row r="340" spans="1:4" x14ac:dyDescent="0.3">
      <c r="A340" t="s">
        <v>326</v>
      </c>
      <c r="B340" s="83">
        <v>44741</v>
      </c>
      <c r="C340">
        <v>88116.71</v>
      </c>
      <c r="D340">
        <v>-185.81431599999999</v>
      </c>
    </row>
    <row r="341" spans="1:4" x14ac:dyDescent="0.3">
      <c r="A341" t="s">
        <v>326</v>
      </c>
      <c r="B341" s="83">
        <v>44742</v>
      </c>
      <c r="C341">
        <v>88207.98</v>
      </c>
      <c r="D341">
        <v>126.48248</v>
      </c>
    </row>
    <row r="342" spans="1:4" x14ac:dyDescent="0.3">
      <c r="A342" t="s">
        <v>326</v>
      </c>
      <c r="B342" s="83">
        <v>44743</v>
      </c>
      <c r="C342">
        <v>88000.5</v>
      </c>
      <c r="D342">
        <v>-354.31229400000001</v>
      </c>
    </row>
    <row r="343" spans="1:4" x14ac:dyDescent="0.3">
      <c r="A343" t="s">
        <v>326</v>
      </c>
      <c r="B343" s="83">
        <v>44746</v>
      </c>
      <c r="C343">
        <v>87724.97</v>
      </c>
      <c r="D343">
        <v>-463.94026200000002</v>
      </c>
    </row>
    <row r="344" spans="1:4" x14ac:dyDescent="0.3">
      <c r="A344" t="s">
        <v>326</v>
      </c>
      <c r="B344" s="83">
        <v>44747</v>
      </c>
      <c r="C344">
        <v>87729.19</v>
      </c>
      <c r="D344">
        <v>-13.543927</v>
      </c>
    </row>
    <row r="345" spans="1:4" x14ac:dyDescent="0.3">
      <c r="A345" t="s">
        <v>326</v>
      </c>
      <c r="B345" s="83">
        <v>44748</v>
      </c>
      <c r="C345">
        <v>87456.71</v>
      </c>
      <c r="D345">
        <v>-459.331884</v>
      </c>
    </row>
    <row r="346" spans="1:4" x14ac:dyDescent="0.3">
      <c r="A346" t="s">
        <v>326</v>
      </c>
      <c r="B346" s="83">
        <v>44749</v>
      </c>
      <c r="C346">
        <v>87530.54</v>
      </c>
      <c r="D346">
        <v>98.660314999999997</v>
      </c>
    </row>
    <row r="347" spans="1:4" x14ac:dyDescent="0.3">
      <c r="A347" t="s">
        <v>326</v>
      </c>
      <c r="B347" s="83">
        <v>44750</v>
      </c>
      <c r="C347">
        <v>87432.19</v>
      </c>
      <c r="D347">
        <v>-242.85126299999999</v>
      </c>
    </row>
    <row r="348" spans="1:4" x14ac:dyDescent="0.3">
      <c r="A348" t="s">
        <v>326</v>
      </c>
      <c r="B348" s="83">
        <v>44753</v>
      </c>
      <c r="C348">
        <v>87163.54</v>
      </c>
      <c r="D348">
        <v>-457.31498599999998</v>
      </c>
    </row>
    <row r="349" spans="1:4" x14ac:dyDescent="0.3">
      <c r="A349" t="s">
        <v>326</v>
      </c>
      <c r="B349" s="83">
        <v>44754</v>
      </c>
      <c r="C349">
        <v>87186.26</v>
      </c>
      <c r="D349">
        <v>12.415653000000001</v>
      </c>
    </row>
    <row r="350" spans="1:4" x14ac:dyDescent="0.3">
      <c r="A350" t="s">
        <v>326</v>
      </c>
      <c r="B350" s="83">
        <v>44755</v>
      </c>
      <c r="C350">
        <v>87090.02</v>
      </c>
      <c r="D350">
        <v>-179.47127699999999</v>
      </c>
    </row>
    <row r="351" spans="1:4" x14ac:dyDescent="0.3">
      <c r="A351" t="s">
        <v>326</v>
      </c>
      <c r="B351" s="83">
        <v>44756</v>
      </c>
      <c r="C351">
        <v>86960.59</v>
      </c>
      <c r="D351">
        <v>-233.06249099999999</v>
      </c>
    </row>
    <row r="352" spans="1:4" x14ac:dyDescent="0.3">
      <c r="A352" t="s">
        <v>326</v>
      </c>
      <c r="B352" s="83">
        <v>44757</v>
      </c>
      <c r="C352">
        <v>87000.66</v>
      </c>
      <c r="D352">
        <v>40.655715000000001</v>
      </c>
    </row>
    <row r="353" spans="1:4" x14ac:dyDescent="0.3">
      <c r="A353" t="s">
        <v>326</v>
      </c>
      <c r="B353" s="83">
        <v>44760</v>
      </c>
      <c r="C353">
        <v>86805.1</v>
      </c>
      <c r="D353">
        <v>-426.58731599999999</v>
      </c>
    </row>
    <row r="354" spans="1:4" x14ac:dyDescent="0.3">
      <c r="A354" t="s">
        <v>326</v>
      </c>
      <c r="B354" s="83">
        <v>44761</v>
      </c>
      <c r="C354">
        <v>86594.38</v>
      </c>
      <c r="D354">
        <v>-450.653975</v>
      </c>
    </row>
    <row r="355" spans="1:4" x14ac:dyDescent="0.3">
      <c r="A355" t="s">
        <v>326</v>
      </c>
      <c r="B355" s="83">
        <v>44762</v>
      </c>
      <c r="C355">
        <v>86751.84</v>
      </c>
      <c r="D355">
        <v>143.206569</v>
      </c>
    </row>
    <row r="356" spans="1:4" x14ac:dyDescent="0.3">
      <c r="A356" t="s">
        <v>326</v>
      </c>
      <c r="B356" s="83">
        <v>44763</v>
      </c>
      <c r="C356">
        <v>86808.92</v>
      </c>
      <c r="D356">
        <v>-18.651071000000002</v>
      </c>
    </row>
    <row r="357" spans="1:4" x14ac:dyDescent="0.3">
      <c r="A357" t="s">
        <v>326</v>
      </c>
      <c r="B357" s="83">
        <v>44764</v>
      </c>
      <c r="C357">
        <v>86966.05</v>
      </c>
      <c r="D357">
        <v>142.50803999999999</v>
      </c>
    </row>
    <row r="358" spans="1:4" x14ac:dyDescent="0.3">
      <c r="A358" t="s">
        <v>326</v>
      </c>
      <c r="B358" s="83">
        <v>44767</v>
      </c>
      <c r="C358">
        <v>86922.84</v>
      </c>
      <c r="D358">
        <v>-180.50204199999999</v>
      </c>
    </row>
    <row r="359" spans="1:4" x14ac:dyDescent="0.3">
      <c r="A359" t="s">
        <v>326</v>
      </c>
      <c r="B359" s="83">
        <v>44768</v>
      </c>
      <c r="C359">
        <v>86863.33</v>
      </c>
      <c r="D359">
        <v>-206.66770099999999</v>
      </c>
    </row>
    <row r="360" spans="1:4" x14ac:dyDescent="0.3">
      <c r="A360" t="s">
        <v>326</v>
      </c>
      <c r="B360" s="83">
        <v>44769</v>
      </c>
      <c r="C360">
        <v>87102.93</v>
      </c>
      <c r="D360">
        <v>258.96566899999999</v>
      </c>
    </row>
    <row r="361" spans="1:4" x14ac:dyDescent="0.3">
      <c r="A361" t="s">
        <v>326</v>
      </c>
      <c r="B361" s="83">
        <v>44770</v>
      </c>
      <c r="C361">
        <v>87626.72</v>
      </c>
      <c r="D361">
        <v>730.01817000000005</v>
      </c>
    </row>
    <row r="362" spans="1:4" x14ac:dyDescent="0.3">
      <c r="A362" t="s">
        <v>326</v>
      </c>
      <c r="B362" s="83">
        <v>44771</v>
      </c>
      <c r="C362">
        <v>87934.24</v>
      </c>
      <c r="D362">
        <v>381.14367199999998</v>
      </c>
    </row>
    <row r="363" spans="1:4" x14ac:dyDescent="0.3">
      <c r="A363" t="s">
        <v>326</v>
      </c>
      <c r="B363" s="83">
        <v>44774</v>
      </c>
      <c r="C363">
        <v>87956.28</v>
      </c>
      <c r="D363">
        <v>-78.311779000000001</v>
      </c>
    </row>
    <row r="364" spans="1:4" x14ac:dyDescent="0.3">
      <c r="A364" t="s">
        <v>326</v>
      </c>
      <c r="B364" s="83">
        <v>44775</v>
      </c>
      <c r="C364">
        <v>87861.21</v>
      </c>
      <c r="D364">
        <v>-266.85776900000002</v>
      </c>
    </row>
    <row r="365" spans="1:4" x14ac:dyDescent="0.3">
      <c r="A365" t="s">
        <v>326</v>
      </c>
      <c r="B365" s="83">
        <v>44776</v>
      </c>
      <c r="C365">
        <v>88100.79</v>
      </c>
      <c r="D365">
        <v>271.24200000000002</v>
      </c>
    </row>
    <row r="366" spans="1:4" x14ac:dyDescent="0.3">
      <c r="A366" t="s">
        <v>326</v>
      </c>
      <c r="B366" s="83">
        <v>44777</v>
      </c>
      <c r="C366">
        <v>88829.09</v>
      </c>
      <c r="D366">
        <v>1056.119874</v>
      </c>
    </row>
    <row r="367" spans="1:4" x14ac:dyDescent="0.3">
      <c r="A367" t="s">
        <v>326</v>
      </c>
      <c r="B367" s="83">
        <v>44778</v>
      </c>
      <c r="C367">
        <v>88883.56</v>
      </c>
      <c r="D367">
        <v>-29.829872999999999</v>
      </c>
    </row>
    <row r="368" spans="1:4" x14ac:dyDescent="0.3">
      <c r="A368" t="s">
        <v>326</v>
      </c>
      <c r="B368" s="83">
        <v>44781</v>
      </c>
      <c r="C368">
        <v>88836.73</v>
      </c>
      <c r="D368">
        <v>-192.813209</v>
      </c>
    </row>
    <row r="369" spans="1:4" x14ac:dyDescent="0.3">
      <c r="A369" t="s">
        <v>326</v>
      </c>
      <c r="B369" s="83">
        <v>44782</v>
      </c>
      <c r="C369">
        <v>88706.26</v>
      </c>
      <c r="D369">
        <v>-350.09145699999999</v>
      </c>
    </row>
    <row r="370" spans="1:4" x14ac:dyDescent="0.3">
      <c r="A370" t="s">
        <v>326</v>
      </c>
      <c r="B370" s="83">
        <v>44783</v>
      </c>
      <c r="C370">
        <v>88677.05</v>
      </c>
      <c r="D370">
        <v>-165.52537799999999</v>
      </c>
    </row>
    <row r="371" spans="1:4" x14ac:dyDescent="0.3">
      <c r="A371" t="s">
        <v>326</v>
      </c>
      <c r="B371" s="83">
        <v>44784</v>
      </c>
      <c r="C371">
        <v>88547.98</v>
      </c>
      <c r="D371">
        <v>-325.39352600000001</v>
      </c>
    </row>
    <row r="372" spans="1:4" x14ac:dyDescent="0.3">
      <c r="A372" t="s">
        <v>326</v>
      </c>
      <c r="B372" s="83">
        <v>44785</v>
      </c>
      <c r="C372">
        <v>88802.71</v>
      </c>
      <c r="D372">
        <v>290.07450699999998</v>
      </c>
    </row>
    <row r="373" spans="1:4" x14ac:dyDescent="0.3">
      <c r="A373" t="s">
        <v>326</v>
      </c>
      <c r="B373" s="83">
        <v>44788</v>
      </c>
      <c r="C373">
        <v>88840.35</v>
      </c>
      <c r="D373">
        <v>-58.140357000000002</v>
      </c>
    </row>
    <row r="374" spans="1:4" x14ac:dyDescent="0.3">
      <c r="A374" t="s">
        <v>326</v>
      </c>
      <c r="B374" s="83">
        <v>44789</v>
      </c>
      <c r="C374">
        <v>88711.65</v>
      </c>
      <c r="D374">
        <v>-293.47634199999999</v>
      </c>
    </row>
    <row r="375" spans="1:4" x14ac:dyDescent="0.3">
      <c r="A375" t="s">
        <v>326</v>
      </c>
      <c r="B375" s="83">
        <v>44790</v>
      </c>
      <c r="C375">
        <v>88550.81</v>
      </c>
      <c r="D375">
        <v>-344.842738</v>
      </c>
    </row>
    <row r="376" spans="1:4" x14ac:dyDescent="0.3">
      <c r="A376" t="s">
        <v>326</v>
      </c>
      <c r="B376" s="83">
        <v>44791</v>
      </c>
      <c r="C376">
        <v>88588.84</v>
      </c>
      <c r="D376">
        <v>-25.960256999999999</v>
      </c>
    </row>
    <row r="377" spans="1:4" x14ac:dyDescent="0.3">
      <c r="A377" t="s">
        <v>326</v>
      </c>
      <c r="B377" s="83">
        <v>44792</v>
      </c>
      <c r="C377">
        <v>88528.05</v>
      </c>
      <c r="D377">
        <v>-184.33060499999999</v>
      </c>
    </row>
    <row r="378" spans="1:4" x14ac:dyDescent="0.3">
      <c r="A378" t="s">
        <v>326</v>
      </c>
      <c r="B378" s="83">
        <v>44795</v>
      </c>
      <c r="C378">
        <v>88418.51</v>
      </c>
      <c r="D378">
        <v>-262.35206199999999</v>
      </c>
    </row>
    <row r="379" spans="1:4" x14ac:dyDescent="0.3">
      <c r="A379" t="s">
        <v>326</v>
      </c>
      <c r="B379" s="83">
        <v>44796</v>
      </c>
      <c r="C379">
        <v>88375.03</v>
      </c>
      <c r="D379">
        <v>-156.625585</v>
      </c>
    </row>
    <row r="380" spans="1:4" x14ac:dyDescent="0.3">
      <c r="A380" t="s">
        <v>326</v>
      </c>
      <c r="B380" s="83">
        <v>44797</v>
      </c>
      <c r="C380">
        <v>88380.75</v>
      </c>
      <c r="D380">
        <v>-77.527725000000004</v>
      </c>
    </row>
    <row r="381" spans="1:4" x14ac:dyDescent="0.3">
      <c r="A381" t="s">
        <v>326</v>
      </c>
      <c r="B381" s="83">
        <v>44798</v>
      </c>
      <c r="C381">
        <v>88207.84</v>
      </c>
      <c r="D381">
        <v>-415.16239999999999</v>
      </c>
    </row>
    <row r="382" spans="1:4" x14ac:dyDescent="0.3">
      <c r="A382" t="s">
        <v>326</v>
      </c>
      <c r="B382" s="83">
        <v>44799</v>
      </c>
      <c r="C382">
        <v>88214.06</v>
      </c>
      <c r="D382">
        <v>-82.922606000000002</v>
      </c>
    </row>
    <row r="383" spans="1:4" x14ac:dyDescent="0.3">
      <c r="A383" t="s">
        <v>326</v>
      </c>
      <c r="B383" s="83">
        <v>44802</v>
      </c>
      <c r="C383">
        <v>88204.2</v>
      </c>
      <c r="D383">
        <v>-108.87145200000001</v>
      </c>
    </row>
    <row r="384" spans="1:4" x14ac:dyDescent="0.3">
      <c r="A384" t="s">
        <v>326</v>
      </c>
      <c r="B384" s="83">
        <v>44803</v>
      </c>
      <c r="C384">
        <v>88113.97</v>
      </c>
      <c r="D384">
        <v>-237.250405</v>
      </c>
    </row>
    <row r="385" spans="1:4" x14ac:dyDescent="0.3">
      <c r="A385" t="s">
        <v>326</v>
      </c>
      <c r="B385" s="83">
        <v>44804</v>
      </c>
      <c r="C385">
        <v>88249.21</v>
      </c>
      <c r="D385">
        <v>123.655728</v>
      </c>
    </row>
    <row r="386" spans="1:4" x14ac:dyDescent="0.3">
      <c r="A386" t="s">
        <v>326</v>
      </c>
      <c r="B386" s="83">
        <v>44805</v>
      </c>
      <c r="C386">
        <v>88368.18</v>
      </c>
      <c r="D386">
        <v>97.463470999999998</v>
      </c>
    </row>
    <row r="387" spans="1:4" x14ac:dyDescent="0.3">
      <c r="A387" t="s">
        <v>326</v>
      </c>
      <c r="B387" s="83">
        <v>44806</v>
      </c>
      <c r="C387">
        <v>88422.66</v>
      </c>
      <c r="D387">
        <v>-5.854609</v>
      </c>
    </row>
    <row r="388" spans="1:4" x14ac:dyDescent="0.3">
      <c r="A388" t="s">
        <v>326</v>
      </c>
      <c r="B388" s="83">
        <v>44809</v>
      </c>
      <c r="C388">
        <v>88428.92</v>
      </c>
      <c r="D388">
        <v>-83.023815999999997</v>
      </c>
    </row>
    <row r="389" spans="1:4" x14ac:dyDescent="0.3">
      <c r="A389" t="s">
        <v>326</v>
      </c>
      <c r="B389" s="83">
        <v>44810</v>
      </c>
      <c r="C389">
        <v>88132</v>
      </c>
      <c r="D389">
        <v>-568.09359700000005</v>
      </c>
    </row>
    <row r="390" spans="1:4" x14ac:dyDescent="0.3">
      <c r="A390" t="s">
        <v>326</v>
      </c>
      <c r="B390" s="83">
        <v>44812</v>
      </c>
      <c r="C390">
        <v>88170.8</v>
      </c>
      <c r="D390">
        <v>-30.666854000000001</v>
      </c>
    </row>
    <row r="391" spans="1:4" x14ac:dyDescent="0.3">
      <c r="A391" t="s">
        <v>326</v>
      </c>
      <c r="B391" s="83">
        <v>44813</v>
      </c>
      <c r="C391">
        <v>88320.76</v>
      </c>
      <c r="D391">
        <v>112.353649</v>
      </c>
    </row>
    <row r="392" spans="1:4" x14ac:dyDescent="0.3">
      <c r="A392" t="s">
        <v>326</v>
      </c>
      <c r="B392" s="83">
        <v>44816</v>
      </c>
      <c r="C392">
        <v>88232.43</v>
      </c>
      <c r="D392">
        <v>-236.024969</v>
      </c>
    </row>
    <row r="393" spans="1:4" x14ac:dyDescent="0.3">
      <c r="A393" t="s">
        <v>326</v>
      </c>
      <c r="B393" s="83">
        <v>44817</v>
      </c>
      <c r="C393">
        <v>88271.12</v>
      </c>
      <c r="D393">
        <v>-32.945399000000002</v>
      </c>
    </row>
    <row r="394" spans="1:4" x14ac:dyDescent="0.3">
      <c r="A394" t="s">
        <v>326</v>
      </c>
      <c r="B394" s="83">
        <v>44818</v>
      </c>
      <c r="C394">
        <v>88515.43</v>
      </c>
      <c r="D394">
        <v>295.48541299999999</v>
      </c>
    </row>
    <row r="395" spans="1:4" x14ac:dyDescent="0.3">
      <c r="A395" t="s">
        <v>326</v>
      </c>
      <c r="B395" s="83">
        <v>44819</v>
      </c>
      <c r="C395">
        <v>88269.56</v>
      </c>
      <c r="D395">
        <v>-487.53467000000001</v>
      </c>
    </row>
    <row r="396" spans="1:4" x14ac:dyDescent="0.3">
      <c r="A396" t="s">
        <v>326</v>
      </c>
      <c r="B396" s="83">
        <v>44820</v>
      </c>
      <c r="C396">
        <v>88465.67</v>
      </c>
      <c r="D396">
        <v>233.451761</v>
      </c>
    </row>
    <row r="397" spans="1:4" x14ac:dyDescent="0.3">
      <c r="A397" t="s">
        <v>326</v>
      </c>
      <c r="B397" s="83">
        <v>44823</v>
      </c>
      <c r="C397">
        <v>88362.55</v>
      </c>
      <c r="D397">
        <v>-244.39426599999999</v>
      </c>
    </row>
    <row r="398" spans="1:4" x14ac:dyDescent="0.3">
      <c r="A398" t="s">
        <v>326</v>
      </c>
      <c r="B398" s="83">
        <v>44824</v>
      </c>
      <c r="C398">
        <v>88369.75</v>
      </c>
      <c r="D398">
        <v>-68.349138999999994</v>
      </c>
    </row>
    <row r="399" spans="1:4" x14ac:dyDescent="0.3">
      <c r="A399" t="s">
        <v>326</v>
      </c>
      <c r="B399" s="83">
        <v>44825</v>
      </c>
      <c r="C399">
        <v>88470.92</v>
      </c>
      <c r="D399">
        <v>81.934501999999995</v>
      </c>
    </row>
    <row r="400" spans="1:4" x14ac:dyDescent="0.3">
      <c r="A400" t="s">
        <v>326</v>
      </c>
      <c r="B400" s="83">
        <v>44826</v>
      </c>
      <c r="C400">
        <v>88901.58</v>
      </c>
      <c r="D400">
        <v>607.726856</v>
      </c>
    </row>
    <row r="401" spans="1:4" x14ac:dyDescent="0.3">
      <c r="A401" t="s">
        <v>326</v>
      </c>
      <c r="B401" s="83">
        <v>44827</v>
      </c>
      <c r="C401">
        <v>88704.02</v>
      </c>
      <c r="D401">
        <v>-395.52709199999998</v>
      </c>
    </row>
    <row r="402" spans="1:4" x14ac:dyDescent="0.3">
      <c r="A402" t="s">
        <v>326</v>
      </c>
      <c r="B402" s="83">
        <v>44830</v>
      </c>
      <c r="C402">
        <v>88508.11</v>
      </c>
      <c r="D402">
        <v>-392.91772300000002</v>
      </c>
    </row>
    <row r="403" spans="1:4" x14ac:dyDescent="0.3">
      <c r="A403" t="s">
        <v>326</v>
      </c>
      <c r="B403" s="83">
        <v>44831</v>
      </c>
      <c r="C403">
        <v>88717.71</v>
      </c>
      <c r="D403">
        <v>254.895194</v>
      </c>
    </row>
    <row r="404" spans="1:4" x14ac:dyDescent="0.3">
      <c r="A404" t="s">
        <v>326</v>
      </c>
      <c r="B404" s="83">
        <v>44832</v>
      </c>
      <c r="C404">
        <v>88724.66</v>
      </c>
      <c r="D404">
        <v>-190.75323900000001</v>
      </c>
    </row>
    <row r="405" spans="1:4" x14ac:dyDescent="0.3">
      <c r="A405" t="s">
        <v>326</v>
      </c>
      <c r="B405" s="83">
        <v>44833</v>
      </c>
      <c r="C405">
        <v>88855.98</v>
      </c>
      <c r="D405">
        <v>116.03637500000001</v>
      </c>
    </row>
    <row r="406" spans="1:4" x14ac:dyDescent="0.3">
      <c r="A406" t="s">
        <v>326</v>
      </c>
      <c r="B406" s="83">
        <v>44834</v>
      </c>
      <c r="C406">
        <v>89002.66</v>
      </c>
      <c r="D406">
        <v>140.143901</v>
      </c>
    </row>
    <row r="407" spans="1:4" x14ac:dyDescent="0.3">
      <c r="A407" t="s">
        <v>326</v>
      </c>
      <c r="B407" s="83">
        <v>44837</v>
      </c>
      <c r="C407">
        <v>89040.3</v>
      </c>
      <c r="D407">
        <v>-33.639623999999998</v>
      </c>
    </row>
    <row r="408" spans="1:4" x14ac:dyDescent="0.3">
      <c r="A408" t="s">
        <v>326</v>
      </c>
      <c r="B408" s="83">
        <v>44838</v>
      </c>
      <c r="C408">
        <v>88984.92</v>
      </c>
      <c r="D408">
        <v>-181.97703300000001</v>
      </c>
    </row>
    <row r="409" spans="1:4" x14ac:dyDescent="0.3">
      <c r="A409" t="s">
        <v>326</v>
      </c>
      <c r="B409" s="83">
        <v>44839</v>
      </c>
      <c r="C409">
        <v>89161.91</v>
      </c>
      <c r="D409">
        <v>188.26054199999999</v>
      </c>
    </row>
    <row r="410" spans="1:4" x14ac:dyDescent="0.3">
      <c r="A410" t="s">
        <v>326</v>
      </c>
      <c r="B410" s="83">
        <v>44840</v>
      </c>
      <c r="C410">
        <v>89323.23</v>
      </c>
      <c r="D410">
        <v>163.27667</v>
      </c>
    </row>
    <row r="411" spans="1:4" x14ac:dyDescent="0.3">
      <c r="A411" t="s">
        <v>326</v>
      </c>
      <c r="B411" s="83">
        <v>44841</v>
      </c>
      <c r="C411">
        <v>89406.85</v>
      </c>
      <c r="D411">
        <v>39.291333000000002</v>
      </c>
    </row>
    <row r="412" spans="1:4" x14ac:dyDescent="0.3">
      <c r="A412" t="s">
        <v>326</v>
      </c>
      <c r="B412" s="83">
        <v>44844</v>
      </c>
      <c r="C412">
        <v>89335.74</v>
      </c>
      <c r="D412">
        <v>-207.53020599999999</v>
      </c>
    </row>
    <row r="413" spans="1:4" x14ac:dyDescent="0.3">
      <c r="A413" t="s">
        <v>326</v>
      </c>
      <c r="B413" s="83">
        <v>44845</v>
      </c>
      <c r="C413">
        <v>89357.5</v>
      </c>
      <c r="D413">
        <v>-22.39526</v>
      </c>
    </row>
    <row r="414" spans="1:4" x14ac:dyDescent="0.3">
      <c r="A414" t="s">
        <v>326</v>
      </c>
      <c r="B414" s="83">
        <v>44847</v>
      </c>
      <c r="C414">
        <v>89502.42</v>
      </c>
      <c r="D414">
        <v>138.68875700000001</v>
      </c>
    </row>
    <row r="415" spans="1:4" x14ac:dyDescent="0.3">
      <c r="A415" t="s">
        <v>326</v>
      </c>
      <c r="B415" s="83">
        <v>44848</v>
      </c>
      <c r="C415">
        <v>89600.9</v>
      </c>
      <c r="D415">
        <v>64.763451000000003</v>
      </c>
    </row>
    <row r="416" spans="1:4" x14ac:dyDescent="0.3">
      <c r="A416" t="s">
        <v>326</v>
      </c>
      <c r="B416" s="83">
        <v>44851</v>
      </c>
      <c r="C416">
        <v>89653.04</v>
      </c>
      <c r="D416">
        <v>-9.1414380000000008</v>
      </c>
    </row>
    <row r="417" spans="1:4" x14ac:dyDescent="0.3">
      <c r="A417" t="s">
        <v>326</v>
      </c>
      <c r="B417" s="83">
        <v>44852</v>
      </c>
      <c r="C417">
        <v>89781.93</v>
      </c>
      <c r="D417">
        <v>156.33798200000001</v>
      </c>
    </row>
    <row r="418" spans="1:4" x14ac:dyDescent="0.3">
      <c r="A418" t="s">
        <v>326</v>
      </c>
      <c r="B418" s="83">
        <v>44853</v>
      </c>
      <c r="C418"/>
      <c r="D418">
        <v>155.87593000000001</v>
      </c>
    </row>
    <row r="419" spans="1:4" x14ac:dyDescent="0.3">
      <c r="A419" t="s">
        <v>326</v>
      </c>
      <c r="B419" s="83">
        <v>44854</v>
      </c>
      <c r="C419">
        <v>89977.58</v>
      </c>
      <c r="D419">
        <v>57.600416000000003</v>
      </c>
    </row>
    <row r="420" spans="1:4" x14ac:dyDescent="0.3">
      <c r="A420" t="s">
        <v>326</v>
      </c>
      <c r="B420" s="83">
        <v>44855</v>
      </c>
      <c r="C420">
        <v>90059.77</v>
      </c>
      <c r="D420">
        <v>81.801284999999993</v>
      </c>
    </row>
    <row r="421" spans="1:4" x14ac:dyDescent="0.3">
      <c r="A421" t="s">
        <v>326</v>
      </c>
      <c r="B421" s="83">
        <v>44858</v>
      </c>
      <c r="C421">
        <v>90111.13</v>
      </c>
      <c r="D421">
        <v>32.627082000000001</v>
      </c>
    </row>
    <row r="422" spans="1:4" x14ac:dyDescent="0.3">
      <c r="A422" t="s">
        <v>326</v>
      </c>
      <c r="B422" s="83">
        <v>44859</v>
      </c>
      <c r="C422">
        <v>90055.39</v>
      </c>
      <c r="D422">
        <v>-138.14990599999999</v>
      </c>
    </row>
    <row r="423" spans="1:4" x14ac:dyDescent="0.3">
      <c r="A423" t="s">
        <v>326</v>
      </c>
      <c r="B423" s="83">
        <v>44860</v>
      </c>
      <c r="C423">
        <v>90060.97</v>
      </c>
      <c r="D423">
        <v>14.780296999999999</v>
      </c>
    </row>
    <row r="424" spans="1:4" x14ac:dyDescent="0.3">
      <c r="A424" t="s">
        <v>326</v>
      </c>
      <c r="B424" s="83">
        <v>44861</v>
      </c>
      <c r="C424">
        <v>90340.94</v>
      </c>
      <c r="D424">
        <v>405.24374399999999</v>
      </c>
    </row>
    <row r="425" spans="1:4" x14ac:dyDescent="0.3">
      <c r="A425" t="s">
        <v>326</v>
      </c>
      <c r="B425" s="83">
        <v>44862</v>
      </c>
      <c r="C425">
        <v>90330.81</v>
      </c>
      <c r="D425">
        <v>-57.733691999999998</v>
      </c>
    </row>
    <row r="426" spans="1:4" x14ac:dyDescent="0.3">
      <c r="A426" t="s">
        <v>326</v>
      </c>
      <c r="B426" s="83">
        <v>44865</v>
      </c>
      <c r="C426">
        <v>90656.17</v>
      </c>
      <c r="D426">
        <v>477.72420099999999</v>
      </c>
    </row>
    <row r="427" spans="1:4" x14ac:dyDescent="0.3">
      <c r="A427" t="s">
        <v>326</v>
      </c>
      <c r="B427" s="83">
        <v>44866</v>
      </c>
      <c r="C427">
        <v>90538.83</v>
      </c>
      <c r="D427">
        <v>-229.07245800000001</v>
      </c>
    </row>
    <row r="428" spans="1:4" x14ac:dyDescent="0.3">
      <c r="A428" t="s">
        <v>326</v>
      </c>
      <c r="B428" s="83">
        <v>44868</v>
      </c>
      <c r="C428">
        <v>90543.73</v>
      </c>
      <c r="D428">
        <v>-33.883778</v>
      </c>
    </row>
    <row r="429" spans="1:4" x14ac:dyDescent="0.3">
      <c r="A429" t="s">
        <v>326</v>
      </c>
      <c r="B429" s="83">
        <v>44869</v>
      </c>
      <c r="C429">
        <v>90639.679999999993</v>
      </c>
      <c r="D429">
        <v>111.735739</v>
      </c>
    </row>
    <row r="430" spans="1:4" x14ac:dyDescent="0.3">
      <c r="A430" t="s">
        <v>326</v>
      </c>
      <c r="B430" s="83">
        <v>44872</v>
      </c>
      <c r="C430">
        <v>90553.74</v>
      </c>
      <c r="D430">
        <v>-179.078349</v>
      </c>
    </row>
    <row r="431" spans="1:4" x14ac:dyDescent="0.3">
      <c r="A431" t="s">
        <v>326</v>
      </c>
      <c r="B431" s="83">
        <v>44873</v>
      </c>
      <c r="C431">
        <v>90558.85</v>
      </c>
      <c r="D431">
        <v>-33.602522999999998</v>
      </c>
    </row>
    <row r="432" spans="1:4" x14ac:dyDescent="0.3">
      <c r="A432" t="s">
        <v>326</v>
      </c>
      <c r="B432" s="83">
        <v>44874</v>
      </c>
      <c r="C432">
        <v>90443.78</v>
      </c>
      <c r="D432">
        <v>-225.68005700000001</v>
      </c>
    </row>
    <row r="433" spans="1:4" x14ac:dyDescent="0.3">
      <c r="A433" t="s">
        <v>326</v>
      </c>
      <c r="B433" s="83">
        <v>44875</v>
      </c>
      <c r="C433">
        <v>89793.84</v>
      </c>
      <c r="D433">
        <v>-897.27648699999997</v>
      </c>
    </row>
    <row r="434" spans="1:4" x14ac:dyDescent="0.3">
      <c r="A434" t="s">
        <v>326</v>
      </c>
      <c r="B434" s="83">
        <v>44876</v>
      </c>
      <c r="C434">
        <v>89550.25</v>
      </c>
      <c r="D434">
        <v>-420.54517700000002</v>
      </c>
    </row>
    <row r="435" spans="1:4" x14ac:dyDescent="0.3">
      <c r="A435" t="s">
        <v>326</v>
      </c>
      <c r="B435" s="83">
        <v>44879</v>
      </c>
      <c r="C435">
        <v>89822.84</v>
      </c>
      <c r="D435">
        <v>405.83864899999998</v>
      </c>
    </row>
    <row r="436" spans="1:4" x14ac:dyDescent="0.3">
      <c r="A436" t="s">
        <v>326</v>
      </c>
      <c r="B436" s="83">
        <v>44881</v>
      </c>
      <c r="C436">
        <v>89609.75</v>
      </c>
      <c r="D436">
        <v>-371.98033700000002</v>
      </c>
    </row>
    <row r="437" spans="1:4" x14ac:dyDescent="0.3">
      <c r="A437" t="s">
        <v>326</v>
      </c>
      <c r="B437" s="83">
        <v>44882</v>
      </c>
      <c r="C437">
        <v>89471.46</v>
      </c>
      <c r="D437">
        <v>-263.80678799999998</v>
      </c>
    </row>
    <row r="438" spans="1:4" x14ac:dyDescent="0.3">
      <c r="A438" t="s">
        <v>326</v>
      </c>
      <c r="B438" s="83">
        <v>44883</v>
      </c>
      <c r="C438">
        <v>89450.53</v>
      </c>
      <c r="D438">
        <v>-75.693985999999995</v>
      </c>
    </row>
    <row r="439" spans="1:4" x14ac:dyDescent="0.3">
      <c r="A439" t="s">
        <v>326</v>
      </c>
      <c r="B439" s="83">
        <v>44886</v>
      </c>
      <c r="C439">
        <v>89516.92</v>
      </c>
      <c r="D439">
        <v>64.264671000000007</v>
      </c>
    </row>
    <row r="440" spans="1:4" x14ac:dyDescent="0.3">
      <c r="A440" t="s">
        <v>326</v>
      </c>
      <c r="B440" s="83">
        <v>44887</v>
      </c>
      <c r="C440">
        <v>89250.44</v>
      </c>
      <c r="D440">
        <v>-469.47764599999999</v>
      </c>
    </row>
    <row r="441" spans="1:4" x14ac:dyDescent="0.3">
      <c r="A441" t="s">
        <v>326</v>
      </c>
      <c r="B441" s="83">
        <v>44888</v>
      </c>
      <c r="C441">
        <v>89015.27</v>
      </c>
      <c r="D441">
        <v>-419.23794700000002</v>
      </c>
    </row>
    <row r="442" spans="1:4" x14ac:dyDescent="0.3">
      <c r="A442" t="s">
        <v>326</v>
      </c>
      <c r="B442" s="83">
        <v>44889</v>
      </c>
      <c r="C442">
        <v>89139.33</v>
      </c>
      <c r="D442">
        <v>157.21196</v>
      </c>
    </row>
    <row r="443" spans="1:4" x14ac:dyDescent="0.3">
      <c r="A443" t="s">
        <v>326</v>
      </c>
      <c r="B443" s="83">
        <v>44890</v>
      </c>
      <c r="C443">
        <v>88820.94</v>
      </c>
      <c r="D443">
        <v>-505.44466299999999</v>
      </c>
    </row>
    <row r="444" spans="1:4" x14ac:dyDescent="0.3">
      <c r="A444" t="s">
        <v>326</v>
      </c>
      <c r="B444" s="83">
        <v>44893</v>
      </c>
      <c r="C444">
        <v>88902.07</v>
      </c>
      <c r="D444">
        <v>94.939363999999998</v>
      </c>
    </row>
    <row r="445" spans="1:4" x14ac:dyDescent="0.3">
      <c r="A445" t="s">
        <v>326</v>
      </c>
      <c r="B445" s="83">
        <v>44894</v>
      </c>
      <c r="C445">
        <v>89210.36</v>
      </c>
      <c r="D445">
        <v>459.90357399999999</v>
      </c>
    </row>
    <row r="446" spans="1:4" x14ac:dyDescent="0.3">
      <c r="A446" t="s">
        <v>326</v>
      </c>
      <c r="B446" s="83">
        <v>44895</v>
      </c>
      <c r="C446">
        <v>89476.1</v>
      </c>
      <c r="D446">
        <v>391.55273199999999</v>
      </c>
    </row>
    <row r="447" spans="1:4" x14ac:dyDescent="0.3">
      <c r="A447" t="s">
        <v>326</v>
      </c>
      <c r="B447" s="83">
        <v>44896</v>
      </c>
      <c r="C447">
        <v>89399.71</v>
      </c>
      <c r="D447">
        <v>-158.1369</v>
      </c>
    </row>
    <row r="448" spans="1:4" x14ac:dyDescent="0.3">
      <c r="A448" t="s">
        <v>326</v>
      </c>
      <c r="B448" s="83">
        <v>44897</v>
      </c>
      <c r="C448">
        <v>89636.29</v>
      </c>
      <c r="D448">
        <v>344.80060200000003</v>
      </c>
    </row>
    <row r="449" spans="1:4" x14ac:dyDescent="0.3">
      <c r="A449" t="s">
        <v>326</v>
      </c>
      <c r="B449" s="83">
        <v>44900</v>
      </c>
      <c r="C449">
        <v>89574.07</v>
      </c>
      <c r="D449">
        <v>-135.74746400000001</v>
      </c>
    </row>
    <row r="450" spans="1:4" x14ac:dyDescent="0.3">
      <c r="A450" t="s">
        <v>326</v>
      </c>
      <c r="B450" s="83">
        <v>44901</v>
      </c>
      <c r="C450">
        <v>89625.55</v>
      </c>
      <c r="D450">
        <v>47.270789999999998</v>
      </c>
    </row>
    <row r="451" spans="1:4" x14ac:dyDescent="0.3">
      <c r="A451" t="s">
        <v>326</v>
      </c>
      <c r="B451" s="83">
        <v>44902</v>
      </c>
      <c r="C451">
        <v>89861.08</v>
      </c>
      <c r="D451">
        <v>343.26914900000003</v>
      </c>
    </row>
    <row r="452" spans="1:4" x14ac:dyDescent="0.3">
      <c r="A452" t="s">
        <v>326</v>
      </c>
      <c r="B452" s="83">
        <v>44903</v>
      </c>
      <c r="C452">
        <v>89869.58</v>
      </c>
      <c r="D452">
        <v>-21.974705</v>
      </c>
    </row>
    <row r="453" spans="1:4" x14ac:dyDescent="0.3">
      <c r="A453" t="s">
        <v>326</v>
      </c>
      <c r="B453" s="83">
        <v>44904</v>
      </c>
      <c r="C453">
        <v>89864.04</v>
      </c>
      <c r="D453">
        <v>-207.68815000000001</v>
      </c>
    </row>
    <row r="454" spans="1:4" x14ac:dyDescent="0.3">
      <c r="A454" t="s">
        <v>326</v>
      </c>
      <c r="B454" s="83">
        <v>44907</v>
      </c>
      <c r="C454">
        <v>89591.72</v>
      </c>
      <c r="D454">
        <v>-483.03857699999998</v>
      </c>
    </row>
    <row r="455" spans="1:4" x14ac:dyDescent="0.3">
      <c r="A455" t="s">
        <v>326</v>
      </c>
      <c r="B455" s="83">
        <v>44908</v>
      </c>
      <c r="C455">
        <v>89405.73</v>
      </c>
      <c r="D455">
        <v>-343.96731599999998</v>
      </c>
    </row>
    <row r="456" spans="1:4" x14ac:dyDescent="0.3">
      <c r="A456" t="s">
        <v>326</v>
      </c>
      <c r="B456" s="83">
        <v>44909</v>
      </c>
      <c r="C456">
        <v>89429.57</v>
      </c>
      <c r="D456">
        <v>-6.7224329999999997</v>
      </c>
    </row>
    <row r="457" spans="1:4" x14ac:dyDescent="0.3">
      <c r="A457" t="s">
        <v>326</v>
      </c>
      <c r="B457" s="83">
        <v>44910</v>
      </c>
      <c r="C457">
        <v>89564.52</v>
      </c>
      <c r="D457">
        <v>171.986166</v>
      </c>
    </row>
    <row r="458" spans="1:4" x14ac:dyDescent="0.3">
      <c r="A458" t="s">
        <v>326</v>
      </c>
      <c r="B458" s="83">
        <v>44911</v>
      </c>
      <c r="C458">
        <v>89518.82</v>
      </c>
      <c r="D458">
        <v>-110.872744</v>
      </c>
    </row>
    <row r="459" spans="1:4" x14ac:dyDescent="0.3">
      <c r="A459" t="s">
        <v>326</v>
      </c>
      <c r="B459" s="83">
        <v>44914</v>
      </c>
      <c r="C459">
        <v>89653.3</v>
      </c>
      <c r="D459">
        <v>179.31405599999999</v>
      </c>
    </row>
    <row r="460" spans="1:4" x14ac:dyDescent="0.3">
      <c r="A460" t="s">
        <v>326</v>
      </c>
      <c r="B460" s="83">
        <v>44915</v>
      </c>
      <c r="C460">
        <v>89815.24</v>
      </c>
      <c r="D460">
        <v>223.272672</v>
      </c>
    </row>
    <row r="461" spans="1:4" x14ac:dyDescent="0.3">
      <c r="A461" t="s">
        <v>326</v>
      </c>
      <c r="B461" s="83">
        <v>44916</v>
      </c>
      <c r="C461">
        <v>89824.67</v>
      </c>
      <c r="D461">
        <v>-22.091327</v>
      </c>
    </row>
    <row r="462" spans="1:4" x14ac:dyDescent="0.3">
      <c r="A462" t="s">
        <v>326</v>
      </c>
      <c r="B462" s="83">
        <v>44917</v>
      </c>
      <c r="C462">
        <v>89834.16</v>
      </c>
      <c r="D462">
        <v>-22.016321000000001</v>
      </c>
    </row>
    <row r="463" spans="1:4" x14ac:dyDescent="0.3">
      <c r="A463" t="s">
        <v>326</v>
      </c>
      <c r="B463" s="83">
        <v>44918</v>
      </c>
      <c r="C463">
        <v>89981.47</v>
      </c>
      <c r="D463">
        <v>199.77484000000001</v>
      </c>
    </row>
    <row r="464" spans="1:4" x14ac:dyDescent="0.3">
      <c r="A464" t="s">
        <v>326</v>
      </c>
      <c r="B464" s="83">
        <v>44921</v>
      </c>
      <c r="C464">
        <v>89963.26</v>
      </c>
      <c r="D464">
        <v>-121.88327</v>
      </c>
    </row>
    <row r="465" spans="1:4" x14ac:dyDescent="0.3">
      <c r="A465" t="s">
        <v>326</v>
      </c>
      <c r="B465" s="83">
        <v>44922</v>
      </c>
      <c r="C465">
        <v>89945.26</v>
      </c>
      <c r="D465">
        <v>-74.253871000000004</v>
      </c>
    </row>
    <row r="466" spans="1:4" x14ac:dyDescent="0.3">
      <c r="A466" t="s">
        <v>326</v>
      </c>
      <c r="B466" s="83">
        <v>44923</v>
      </c>
      <c r="C466">
        <v>90242.81</v>
      </c>
      <c r="D466">
        <v>433.99162899999999</v>
      </c>
    </row>
    <row r="467" spans="1:4" x14ac:dyDescent="0.3">
      <c r="A467" t="s">
        <v>326</v>
      </c>
      <c r="B467" s="83">
        <v>44924</v>
      </c>
      <c r="C467">
        <v>90375.33</v>
      </c>
      <c r="D467">
        <v>168.163735</v>
      </c>
    </row>
    <row r="468" spans="1:4" x14ac:dyDescent="0.3">
      <c r="A468" t="s">
        <v>326</v>
      </c>
      <c r="B468" s="83">
        <v>44928</v>
      </c>
      <c r="C468">
        <v>90079.09</v>
      </c>
      <c r="D468">
        <v>-568.66526399999998</v>
      </c>
    </row>
    <row r="469" spans="1:4" x14ac:dyDescent="0.3">
      <c r="A469" t="s">
        <v>326</v>
      </c>
      <c r="B469" s="83">
        <v>44929</v>
      </c>
      <c r="C469">
        <v>89953.19</v>
      </c>
      <c r="D469">
        <v>-248.63567900000001</v>
      </c>
    </row>
    <row r="470" spans="1:4" x14ac:dyDescent="0.3">
      <c r="A470" t="s">
        <v>326</v>
      </c>
      <c r="B470" s="83">
        <v>44930</v>
      </c>
      <c r="C470">
        <v>89868.77</v>
      </c>
      <c r="D470">
        <v>-181.48885300000001</v>
      </c>
    </row>
    <row r="471" spans="1:4" x14ac:dyDescent="0.3">
      <c r="A471" t="s">
        <v>326</v>
      </c>
      <c r="B471" s="83">
        <v>44931</v>
      </c>
      <c r="C471">
        <v>89986.76</v>
      </c>
      <c r="D471">
        <v>145.04843099999999</v>
      </c>
    </row>
    <row r="472" spans="1:4" x14ac:dyDescent="0.3">
      <c r="A472" t="s">
        <v>326</v>
      </c>
      <c r="B472" s="83">
        <v>44932</v>
      </c>
      <c r="C472">
        <v>90064.12</v>
      </c>
      <c r="D472">
        <v>79.452556000000001</v>
      </c>
    </row>
    <row r="473" spans="1:4" x14ac:dyDescent="0.3">
      <c r="A473" t="s">
        <v>326</v>
      </c>
      <c r="B473" s="83">
        <v>44935</v>
      </c>
      <c r="C473">
        <v>90114.42</v>
      </c>
      <c r="D473">
        <v>35.747718999999996</v>
      </c>
    </row>
    <row r="474" spans="1:4" x14ac:dyDescent="0.3">
      <c r="A474" t="s">
        <v>326</v>
      </c>
      <c r="B474" s="83">
        <v>44936</v>
      </c>
      <c r="C474">
        <v>90191.45</v>
      </c>
      <c r="D474">
        <v>303.648573</v>
      </c>
    </row>
    <row r="475" spans="1:4" x14ac:dyDescent="0.3">
      <c r="A475" t="s">
        <v>326</v>
      </c>
      <c r="B475" s="83">
        <v>44937</v>
      </c>
      <c r="C475">
        <v>90429.3</v>
      </c>
      <c r="D475">
        <v>351.63526999999999</v>
      </c>
    </row>
    <row r="476" spans="1:4" x14ac:dyDescent="0.3">
      <c r="A476" t="s">
        <v>326</v>
      </c>
      <c r="B476" s="83">
        <v>44938</v>
      </c>
      <c r="C476">
        <v>90438.7</v>
      </c>
      <c r="D476">
        <v>-17.906998000000002</v>
      </c>
    </row>
    <row r="477" spans="1:4" x14ac:dyDescent="0.3">
      <c r="A477" t="s">
        <v>326</v>
      </c>
      <c r="B477" s="83">
        <v>44939</v>
      </c>
      <c r="C477">
        <v>90434.8</v>
      </c>
      <c r="D477">
        <v>-39.675015000000002</v>
      </c>
    </row>
    <row r="478" spans="1:4" x14ac:dyDescent="0.3">
      <c r="A478" t="s">
        <v>326</v>
      </c>
      <c r="B478" s="83">
        <v>44942</v>
      </c>
      <c r="C478">
        <v>90391.06</v>
      </c>
      <c r="D478">
        <v>-103.9577</v>
      </c>
    </row>
    <row r="479" spans="1:4" x14ac:dyDescent="0.3">
      <c r="A479" t="s">
        <v>326</v>
      </c>
      <c r="B479" s="83">
        <v>44943</v>
      </c>
      <c r="C479">
        <v>90547.18</v>
      </c>
      <c r="D479">
        <v>213.03170900000001</v>
      </c>
    </row>
    <row r="480" spans="1:4" x14ac:dyDescent="0.3">
      <c r="A480" t="s">
        <v>326</v>
      </c>
      <c r="B480" s="83">
        <v>44944</v>
      </c>
      <c r="C480">
        <v>90530.09</v>
      </c>
      <c r="D480">
        <v>-67.702305999999993</v>
      </c>
    </row>
    <row r="481" spans="1:4" x14ac:dyDescent="0.3">
      <c r="A481" t="s">
        <v>326</v>
      </c>
      <c r="B481" s="83">
        <v>44945</v>
      </c>
      <c r="C481">
        <v>90712.2</v>
      </c>
      <c r="D481">
        <v>255.146221</v>
      </c>
    </row>
    <row r="482" spans="1:4" x14ac:dyDescent="0.3">
      <c r="A482" t="s">
        <v>326</v>
      </c>
      <c r="B482" s="83">
        <v>44946</v>
      </c>
      <c r="C482">
        <v>90721.44</v>
      </c>
      <c r="D482">
        <v>-24.94877</v>
      </c>
    </row>
    <row r="483" spans="1:4" x14ac:dyDescent="0.3">
      <c r="A483" t="s">
        <v>326</v>
      </c>
      <c r="B483" s="83">
        <v>44949</v>
      </c>
      <c r="C483">
        <v>90836.64</v>
      </c>
      <c r="D483">
        <v>146.74636699999999</v>
      </c>
    </row>
    <row r="484" spans="1:4" x14ac:dyDescent="0.3">
      <c r="A484" t="s">
        <v>326</v>
      </c>
      <c r="B484" s="83">
        <v>44950</v>
      </c>
      <c r="C484">
        <v>91070.84</v>
      </c>
      <c r="D484">
        <v>339.36572100000001</v>
      </c>
    </row>
    <row r="485" spans="1:4" x14ac:dyDescent="0.3">
      <c r="A485" t="s">
        <v>326</v>
      </c>
      <c r="B485" s="83">
        <v>44951</v>
      </c>
      <c r="C485">
        <v>91026.54</v>
      </c>
      <c r="D485">
        <v>-93.267347999999998</v>
      </c>
    </row>
    <row r="486" spans="1:4" x14ac:dyDescent="0.3">
      <c r="A486" t="s">
        <v>326</v>
      </c>
      <c r="B486" s="83">
        <v>44952</v>
      </c>
      <c r="C486">
        <v>90943.13</v>
      </c>
      <c r="D486">
        <v>-172.67437699999999</v>
      </c>
    </row>
    <row r="487" spans="1:4" x14ac:dyDescent="0.3">
      <c r="A487" t="s">
        <v>326</v>
      </c>
      <c r="B487" s="83">
        <v>44953</v>
      </c>
      <c r="C487">
        <v>90912.87</v>
      </c>
      <c r="D487">
        <v>-86.464591999999996</v>
      </c>
    </row>
    <row r="488" spans="1:4" x14ac:dyDescent="0.3">
      <c r="A488" t="s">
        <v>326</v>
      </c>
      <c r="B488" s="83">
        <v>44956</v>
      </c>
      <c r="C488">
        <v>91026.97</v>
      </c>
      <c r="D488">
        <v>147.52997400000001</v>
      </c>
    </row>
    <row r="489" spans="1:4" x14ac:dyDescent="0.3">
      <c r="A489" t="s">
        <v>326</v>
      </c>
      <c r="B489" s="83">
        <v>44957</v>
      </c>
      <c r="C489">
        <v>90983.77</v>
      </c>
      <c r="D489">
        <v>-107.575588</v>
      </c>
    </row>
    <row r="490" spans="1:4" x14ac:dyDescent="0.3">
      <c r="A490" t="s">
        <v>326</v>
      </c>
      <c r="B490" s="83">
        <v>44958</v>
      </c>
      <c r="C490">
        <v>90940.96</v>
      </c>
      <c r="D490">
        <v>-106.95354500000001</v>
      </c>
    </row>
    <row r="491" spans="1:4" x14ac:dyDescent="0.3">
      <c r="A491" t="s">
        <v>326</v>
      </c>
      <c r="B491" s="83">
        <v>44959</v>
      </c>
      <c r="C491">
        <v>90691.34</v>
      </c>
      <c r="D491">
        <v>-442.81379199999998</v>
      </c>
    </row>
    <row r="492" spans="1:4" x14ac:dyDescent="0.3">
      <c r="A492" t="s">
        <v>326</v>
      </c>
      <c r="B492" s="83">
        <v>44960</v>
      </c>
      <c r="C492">
        <v>90559.96</v>
      </c>
      <c r="D492">
        <v>-250.77336099999999</v>
      </c>
    </row>
    <row r="493" spans="1:4" x14ac:dyDescent="0.3">
      <c r="A493" t="s">
        <v>326</v>
      </c>
      <c r="B493" s="83">
        <v>44963</v>
      </c>
      <c r="C493">
        <v>90711.9</v>
      </c>
      <c r="D493">
        <v>209.52099000000001</v>
      </c>
    </row>
    <row r="494" spans="1:4" x14ac:dyDescent="0.3">
      <c r="A494" t="s">
        <v>326</v>
      </c>
      <c r="B494" s="83">
        <v>44964</v>
      </c>
      <c r="C494">
        <v>90735.12</v>
      </c>
      <c r="D494">
        <v>0.30877100000000002</v>
      </c>
    </row>
    <row r="495" spans="1:4" x14ac:dyDescent="0.3">
      <c r="A495" t="s">
        <v>326</v>
      </c>
      <c r="B495" s="83">
        <v>44965</v>
      </c>
      <c r="C495">
        <v>90899.29</v>
      </c>
      <c r="D495">
        <v>229.40998999999999</v>
      </c>
    </row>
    <row r="496" spans="1:4" x14ac:dyDescent="0.3">
      <c r="A496" t="s">
        <v>326</v>
      </c>
      <c r="B496" s="83">
        <v>44966</v>
      </c>
      <c r="C496">
        <v>91243.11</v>
      </c>
      <c r="D496">
        <v>485.35785700000002</v>
      </c>
    </row>
    <row r="497" spans="1:4" x14ac:dyDescent="0.3">
      <c r="A497" t="s">
        <v>326</v>
      </c>
      <c r="B497" s="83">
        <v>44967</v>
      </c>
      <c r="C497">
        <v>91342.36</v>
      </c>
      <c r="D497">
        <v>121.65189599999999</v>
      </c>
    </row>
    <row r="498" spans="1:4" x14ac:dyDescent="0.3">
      <c r="A498" t="s">
        <v>326</v>
      </c>
      <c r="B498" s="83">
        <v>44970</v>
      </c>
      <c r="C498">
        <v>91300.18</v>
      </c>
      <c r="D498">
        <v>-108.15028</v>
      </c>
    </row>
    <row r="499" spans="1:4" x14ac:dyDescent="0.3">
      <c r="A499" t="s">
        <v>326</v>
      </c>
      <c r="B499" s="83">
        <v>44971</v>
      </c>
      <c r="C499">
        <v>91463.11</v>
      </c>
      <c r="D499">
        <v>225.25053399999999</v>
      </c>
    </row>
    <row r="500" spans="1:4" x14ac:dyDescent="0.3">
      <c r="A500" t="s">
        <v>326</v>
      </c>
      <c r="B500" s="83">
        <v>44972</v>
      </c>
      <c r="C500">
        <v>91805.49</v>
      </c>
      <c r="D500">
        <v>517.206277</v>
      </c>
    </row>
    <row r="501" spans="1:4" x14ac:dyDescent="0.3">
      <c r="A501" t="s">
        <v>326</v>
      </c>
      <c r="B501" s="83">
        <v>44973</v>
      </c>
      <c r="C501">
        <v>91942.080000000002</v>
      </c>
      <c r="D501">
        <v>213.50618299999999</v>
      </c>
    </row>
    <row r="505" spans="1:4" x14ac:dyDescent="0.3">
      <c r="A505" s="120" t="s">
        <v>316</v>
      </c>
    </row>
    <row r="506" spans="1:4" x14ac:dyDescent="0.3">
      <c r="A506" s="120" t="s">
        <v>317</v>
      </c>
    </row>
    <row r="507" spans="1:4" x14ac:dyDescent="0.3">
      <c r="A507" s="120" t="s">
        <v>318</v>
      </c>
    </row>
    <row r="508" spans="1:4" x14ac:dyDescent="0.3">
      <c r="A508" s="120" t="s">
        <v>319</v>
      </c>
    </row>
    <row r="509" spans="1:4" x14ac:dyDescent="0.3">
      <c r="A509" s="120" t="s">
        <v>320</v>
      </c>
    </row>
    <row r="510" spans="1:4" x14ac:dyDescent="0.3">
      <c r="A510" s="120" t="s">
        <v>321</v>
      </c>
    </row>
    <row r="511" spans="1:4" x14ac:dyDescent="0.3">
      <c r="A511" s="120" t="s">
        <v>322</v>
      </c>
    </row>
    <row r="512" spans="1:4" x14ac:dyDescent="0.3">
      <c r="A512" s="120" t="s">
        <v>323</v>
      </c>
    </row>
  </sheetData>
  <autoFilter ref="A1:D501" xr:uid="{00000000-0009-0000-0000-00000C000000}"/>
  <pageMargins left="0.511811024" right="0.511811024" top="0.78740157499999996" bottom="0.78740157499999996" header="0.31496062000000002" footer="0.31496062000000002"/>
  <pageSetup paperSize="9" orientation="portrait" r:id="rId1"/>
  <headerFooter>
    <oddHeader>&amp;R&amp;"Calibri"&amp;10&amp;K000000#interna&amp;1#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13</vt:i4>
      </vt:variant>
    </vt:vector>
  </HeadingPairs>
  <TitlesOfParts>
    <vt:vector size="13" baseType="lpstr">
      <vt:lpstr>Feriados</vt:lpstr>
      <vt:lpstr>Resumo estatístico Futuro DAP</vt:lpstr>
      <vt:lpstr>Ajustes B3</vt:lpstr>
      <vt:lpstr>DAP Futuro</vt:lpstr>
      <vt:lpstr>Simular PRT</vt:lpstr>
      <vt:lpstr>VNA e PRT</vt:lpstr>
      <vt:lpstr>Histórico DAP Futuro</vt:lpstr>
      <vt:lpstr>Comprado X Vendido DAP</vt:lpstr>
      <vt:lpstr>DAP até o Vencimento</vt:lpstr>
      <vt:lpstr>NTN-B x Dap Fut</vt:lpstr>
      <vt:lpstr>TD IPCA 24 Princ</vt:lpstr>
      <vt:lpstr>quantum q22</vt:lpstr>
      <vt:lpstr>quantum q24</vt:lpstr>
    </vt:vector>
  </TitlesOfParts>
  <Company>RFP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Curso do Renda Fixa Prática</dc:title>
  <dc:creator>Jefferson Veiga Figueiredo</dc:creator>
  <cp:keywords>www.rendafixapratica.com.br</cp:keywords>
  <cp:lastModifiedBy>Jefferson Veiga Figueiredo</cp:lastModifiedBy>
  <dcterms:created xsi:type="dcterms:W3CDTF">2022-12-01T22:58:29Z</dcterms:created>
  <dcterms:modified xsi:type="dcterms:W3CDTF">2023-03-16T01:06:04Z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0881dc9-f7f2-41de-a334-ceff3dc15b31_Enabled">
    <vt:lpwstr>true</vt:lpwstr>
  </property>
  <property fmtid="{D5CDD505-2E9C-101B-9397-08002B2CF9AE}" pid="3" name="MSIP_Label_40881dc9-f7f2-41de-a334-ceff3dc15b31_SetDate">
    <vt:lpwstr>2023-03-15T20:05:43Z</vt:lpwstr>
  </property>
  <property fmtid="{D5CDD505-2E9C-101B-9397-08002B2CF9AE}" pid="4" name="MSIP_Label_40881dc9-f7f2-41de-a334-ceff3dc15b31_Method">
    <vt:lpwstr>Standard</vt:lpwstr>
  </property>
  <property fmtid="{D5CDD505-2E9C-101B-9397-08002B2CF9AE}" pid="5" name="MSIP_Label_40881dc9-f7f2-41de-a334-ceff3dc15b31_Name">
    <vt:lpwstr>40881dc9-f7f2-41de-a334-ceff3dc15b31</vt:lpwstr>
  </property>
  <property fmtid="{D5CDD505-2E9C-101B-9397-08002B2CF9AE}" pid="6" name="MSIP_Label_40881dc9-f7f2-41de-a334-ceff3dc15b31_SiteId">
    <vt:lpwstr>ea0c2907-38d2-4181-8750-b0b190b60443</vt:lpwstr>
  </property>
  <property fmtid="{D5CDD505-2E9C-101B-9397-08002B2CF9AE}" pid="7" name="MSIP_Label_40881dc9-f7f2-41de-a334-ceff3dc15b31_ActionId">
    <vt:lpwstr>0e2801ea-f2b6-47ca-bc10-285d94ee5b2c</vt:lpwstr>
  </property>
  <property fmtid="{D5CDD505-2E9C-101B-9397-08002B2CF9AE}" pid="8" name="MSIP_Label_40881dc9-f7f2-41de-a334-ceff3dc15b31_ContentBits">
    <vt:lpwstr>1</vt:lpwstr>
  </property>
</Properties>
</file>