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1A68BD33-0504-47A0-9F7B-40A39290DE1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FP" sheetId="1" r:id="rId1"/>
    <sheet name="Preço - DM e Convex" sheetId="3" r:id="rId2"/>
    <sheet name="Graf DM e Convex" sheetId="4" r:id="rId3"/>
  </sheets>
  <definedNames>
    <definedName name="_xlnm.Print_Area" localSheetId="1">'Preço - DM e Convex'!$A$1:$X$33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3" l="1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11" i="3"/>
  <c r="A14" i="1"/>
  <c r="A13" i="3" l="1"/>
  <c r="X9" i="3"/>
  <c r="W9" i="3"/>
  <c r="V9" i="3"/>
  <c r="U9" i="3"/>
  <c r="T9" i="3"/>
  <c r="S9" i="3"/>
  <c r="R9" i="3"/>
  <c r="Q9" i="3"/>
  <c r="P9" i="3"/>
  <c r="O9" i="3"/>
  <c r="N9" i="3"/>
  <c r="M9" i="3"/>
  <c r="L9" i="3"/>
  <c r="L7" i="3"/>
  <c r="P11" i="3" s="1"/>
  <c r="W12" i="3" l="1"/>
  <c r="S11" i="3"/>
  <c r="Q12" i="3"/>
  <c r="O11" i="3"/>
  <c r="M12" i="3"/>
  <c r="U11" i="3"/>
  <c r="O13" i="3"/>
  <c r="M11" i="3"/>
  <c r="O12" i="3"/>
  <c r="T11" i="3"/>
  <c r="X12" i="3"/>
  <c r="N11" i="3"/>
  <c r="R12" i="3"/>
  <c r="X11" i="3"/>
  <c r="R11" i="3"/>
  <c r="L11" i="3"/>
  <c r="S12" i="3"/>
  <c r="W11" i="3"/>
  <c r="Q11" i="3"/>
  <c r="L12" i="3"/>
  <c r="U12" i="3"/>
  <c r="V11" i="3"/>
  <c r="W13" i="3"/>
  <c r="A14" i="3"/>
  <c r="P14" i="3" s="1"/>
  <c r="U13" i="3"/>
  <c r="S13" i="3"/>
  <c r="Q13" i="3"/>
  <c r="V13" i="3"/>
  <c r="M13" i="3"/>
  <c r="P13" i="3"/>
  <c r="P12" i="3"/>
  <c r="V12" i="3"/>
  <c r="N13" i="3"/>
  <c r="T13" i="3"/>
  <c r="N12" i="3"/>
  <c r="T12" i="3"/>
  <c r="L13" i="3"/>
  <c r="R13" i="3"/>
  <c r="X13" i="3"/>
  <c r="B20" i="1"/>
  <c r="B11" i="1"/>
  <c r="B10" i="1"/>
  <c r="H4" i="1"/>
  <c r="R14" i="3" l="1"/>
  <c r="L14" i="3"/>
  <c r="V14" i="3"/>
  <c r="B11" i="3"/>
  <c r="B12" i="3"/>
  <c r="B13" i="3"/>
  <c r="S14" i="3"/>
  <c r="Q14" i="3"/>
  <c r="W14" i="3"/>
  <c r="T14" i="3"/>
  <c r="A15" i="3"/>
  <c r="M14" i="3"/>
  <c r="U14" i="3"/>
  <c r="O14" i="3"/>
  <c r="N14" i="3"/>
  <c r="X14" i="3"/>
  <c r="I4" i="1"/>
  <c r="H21" i="1"/>
  <c r="H5" i="1"/>
  <c r="B14" i="3" l="1"/>
  <c r="A16" i="3"/>
  <c r="Q15" i="3"/>
  <c r="X15" i="3"/>
  <c r="O15" i="3"/>
  <c r="R15" i="3"/>
  <c r="L15" i="3"/>
  <c r="S15" i="3"/>
  <c r="M15" i="3"/>
  <c r="W15" i="3"/>
  <c r="U15" i="3"/>
  <c r="N15" i="3"/>
  <c r="P15" i="3"/>
  <c r="T15" i="3"/>
  <c r="V15" i="3"/>
  <c r="J4" i="1"/>
  <c r="K4" i="1"/>
  <c r="H22" i="1"/>
  <c r="I5" i="1"/>
  <c r="H6" i="1"/>
  <c r="I21" i="1"/>
  <c r="B15" i="3" l="1"/>
  <c r="W16" i="3"/>
  <c r="O16" i="3"/>
  <c r="V16" i="3"/>
  <c r="M16" i="3"/>
  <c r="A17" i="3"/>
  <c r="P16" i="3"/>
  <c r="U16" i="3"/>
  <c r="S16" i="3"/>
  <c r="Q16" i="3"/>
  <c r="R16" i="3"/>
  <c r="T16" i="3"/>
  <c r="X16" i="3"/>
  <c r="L16" i="3"/>
  <c r="N16" i="3"/>
  <c r="K21" i="1"/>
  <c r="J21" i="1"/>
  <c r="J5" i="1"/>
  <c r="K5" i="1"/>
  <c r="H7" i="1"/>
  <c r="H23" i="1"/>
  <c r="I6" i="1"/>
  <c r="I22" i="1"/>
  <c r="K22" i="1" s="1"/>
  <c r="B16" i="3" l="1"/>
  <c r="U17" i="3"/>
  <c r="M17" i="3"/>
  <c r="T17" i="3"/>
  <c r="Q17" i="3"/>
  <c r="W17" i="3"/>
  <c r="O17" i="3"/>
  <c r="N17" i="3"/>
  <c r="A18" i="3"/>
  <c r="S17" i="3"/>
  <c r="R17" i="3"/>
  <c r="V17" i="3"/>
  <c r="X17" i="3"/>
  <c r="P17" i="3"/>
  <c r="L17" i="3"/>
  <c r="J22" i="1"/>
  <c r="J6" i="1"/>
  <c r="K6" i="1"/>
  <c r="I23" i="1"/>
  <c r="K23" i="1" s="1"/>
  <c r="I7" i="1"/>
  <c r="H8" i="1"/>
  <c r="H24" i="1"/>
  <c r="B17" i="3" l="1"/>
  <c r="X18" i="3"/>
  <c r="O18" i="3"/>
  <c r="S18" i="3"/>
  <c r="R18" i="3"/>
  <c r="M18" i="3"/>
  <c r="A19" i="3"/>
  <c r="L18" i="3"/>
  <c r="W18" i="3"/>
  <c r="U18" i="3"/>
  <c r="Q18" i="3"/>
  <c r="N18" i="3"/>
  <c r="P18" i="3"/>
  <c r="T18" i="3"/>
  <c r="V18" i="3"/>
  <c r="J23" i="1"/>
  <c r="J7" i="1"/>
  <c r="K7" i="1"/>
  <c r="H25" i="1"/>
  <c r="I8" i="1"/>
  <c r="H9" i="1"/>
  <c r="H10" i="1" s="1"/>
  <c r="H11" i="1" s="1"/>
  <c r="I24" i="1"/>
  <c r="K24" i="1" s="1"/>
  <c r="B18" i="3" l="1"/>
  <c r="V19" i="3"/>
  <c r="M19" i="3"/>
  <c r="Q19" i="3"/>
  <c r="A20" i="3"/>
  <c r="P19" i="3"/>
  <c r="W19" i="3"/>
  <c r="S19" i="3"/>
  <c r="U19" i="3"/>
  <c r="O19" i="3"/>
  <c r="L19" i="3"/>
  <c r="N19" i="3"/>
  <c r="R19" i="3"/>
  <c r="T19" i="3"/>
  <c r="X19" i="3"/>
  <c r="H12" i="1"/>
  <c r="I11" i="1"/>
  <c r="J24" i="1"/>
  <c r="J8" i="1"/>
  <c r="K8" i="1"/>
  <c r="I9" i="1"/>
  <c r="H26" i="1"/>
  <c r="I25" i="1"/>
  <c r="K25" i="1" s="1"/>
  <c r="B19" i="3" l="1"/>
  <c r="U20" i="3"/>
  <c r="T20" i="3"/>
  <c r="O20" i="3"/>
  <c r="A21" i="3"/>
  <c r="N20" i="3"/>
  <c r="W20" i="3"/>
  <c r="S20" i="3"/>
  <c r="Q20" i="3"/>
  <c r="M20" i="3"/>
  <c r="L20" i="3"/>
  <c r="P20" i="3"/>
  <c r="R20" i="3"/>
  <c r="V20" i="3"/>
  <c r="X20" i="3"/>
  <c r="J11" i="1"/>
  <c r="K11" i="1"/>
  <c r="H13" i="1"/>
  <c r="I12" i="1"/>
  <c r="J25" i="1"/>
  <c r="J9" i="1"/>
  <c r="K9" i="1"/>
  <c r="I26" i="1"/>
  <c r="K26" i="1" s="1"/>
  <c r="I10" i="1"/>
  <c r="H27" i="1"/>
  <c r="C12" i="3" l="1"/>
  <c r="C11" i="3"/>
  <c r="C13" i="3"/>
  <c r="C14" i="3"/>
  <c r="C15" i="3"/>
  <c r="C16" i="3"/>
  <c r="C17" i="3"/>
  <c r="C18" i="3"/>
  <c r="C19" i="3"/>
  <c r="C20" i="3"/>
  <c r="C21" i="3"/>
  <c r="B20" i="3"/>
  <c r="A22" i="3"/>
  <c r="C22" i="3" s="1"/>
  <c r="S21" i="3"/>
  <c r="M21" i="3"/>
  <c r="X21" i="3"/>
  <c r="L21" i="3"/>
  <c r="R21" i="3"/>
  <c r="Q21" i="3"/>
  <c r="U21" i="3"/>
  <c r="W21" i="3"/>
  <c r="O21" i="3"/>
  <c r="T21" i="3"/>
  <c r="V21" i="3"/>
  <c r="N21" i="3"/>
  <c r="P21" i="3"/>
  <c r="J12" i="1"/>
  <c r="K12" i="1"/>
  <c r="H14" i="1"/>
  <c r="I13" i="1"/>
  <c r="J26" i="1"/>
  <c r="J10" i="1"/>
  <c r="K10" i="1"/>
  <c r="I27" i="1"/>
  <c r="K27" i="1" s="1"/>
  <c r="H28" i="1"/>
  <c r="P22" i="3" l="1"/>
  <c r="V22" i="3"/>
  <c r="U22" i="3"/>
  <c r="O22" i="3"/>
  <c r="M22" i="3"/>
  <c r="A23" i="3"/>
  <c r="C23" i="3" s="1"/>
  <c r="S22" i="3"/>
  <c r="T22" i="3"/>
  <c r="X22" i="3"/>
  <c r="L22" i="3"/>
  <c r="R22" i="3"/>
  <c r="Q22" i="3"/>
  <c r="W22" i="3"/>
  <c r="N22" i="3"/>
  <c r="B21" i="3"/>
  <c r="J13" i="1"/>
  <c r="K13" i="1"/>
  <c r="H15" i="1"/>
  <c r="I14" i="1"/>
  <c r="J27" i="1"/>
  <c r="H29" i="1"/>
  <c r="I28" i="1"/>
  <c r="K28" i="1" s="1"/>
  <c r="H13" i="3" l="1"/>
  <c r="H19" i="3"/>
  <c r="H21" i="3"/>
  <c r="H14" i="3"/>
  <c r="H20" i="3"/>
  <c r="H17" i="3"/>
  <c r="H18" i="3"/>
  <c r="H15" i="3"/>
  <c r="H22" i="3"/>
  <c r="H16" i="3"/>
  <c r="H23" i="3"/>
  <c r="H11" i="3"/>
  <c r="H12" i="3"/>
  <c r="B22" i="3"/>
  <c r="B6" i="3"/>
  <c r="T23" i="3"/>
  <c r="N23" i="3"/>
  <c r="A24" i="3"/>
  <c r="C24" i="3" s="1"/>
  <c r="M23" i="3"/>
  <c r="W23" i="3"/>
  <c r="S23" i="3"/>
  <c r="Q23" i="3"/>
  <c r="U23" i="3"/>
  <c r="L23" i="3"/>
  <c r="P23" i="3"/>
  <c r="O23" i="3"/>
  <c r="R23" i="3"/>
  <c r="V23" i="3"/>
  <c r="X23" i="3"/>
  <c r="I15" i="1"/>
  <c r="H16" i="1"/>
  <c r="I16" i="1" s="1"/>
  <c r="K14" i="1"/>
  <c r="J14" i="1"/>
  <c r="J28" i="1"/>
  <c r="H30" i="1"/>
  <c r="I29" i="1"/>
  <c r="K29" i="1" s="1"/>
  <c r="H24" i="3" l="1"/>
  <c r="E11" i="3"/>
  <c r="F11" i="3" s="1"/>
  <c r="G11" i="3" s="1"/>
  <c r="E17" i="3"/>
  <c r="F17" i="3" s="1"/>
  <c r="G17" i="3" s="1"/>
  <c r="E12" i="3"/>
  <c r="F12" i="3" s="1"/>
  <c r="G12" i="3" s="1"/>
  <c r="E18" i="3"/>
  <c r="F18" i="3" s="1"/>
  <c r="G18" i="3" s="1"/>
  <c r="E22" i="3"/>
  <c r="E15" i="3"/>
  <c r="F15" i="3" s="1"/>
  <c r="G15" i="3" s="1"/>
  <c r="E13" i="3"/>
  <c r="F13" i="3" s="1"/>
  <c r="G13" i="3" s="1"/>
  <c r="E19" i="3"/>
  <c r="F19" i="3" s="1"/>
  <c r="G19" i="3" s="1"/>
  <c r="E14" i="3"/>
  <c r="F14" i="3" s="1"/>
  <c r="G14" i="3" s="1"/>
  <c r="E20" i="3"/>
  <c r="F20" i="3" s="1"/>
  <c r="G20" i="3" s="1"/>
  <c r="E23" i="3"/>
  <c r="E16" i="3"/>
  <c r="F16" i="3" s="1"/>
  <c r="G16" i="3" s="1"/>
  <c r="E24" i="3"/>
  <c r="E21" i="3"/>
  <c r="B23" i="3"/>
  <c r="A25" i="3"/>
  <c r="C25" i="3" s="1"/>
  <c r="X24" i="3"/>
  <c r="L24" i="3"/>
  <c r="R24" i="3"/>
  <c r="Q24" i="3"/>
  <c r="O24" i="3"/>
  <c r="U24" i="3"/>
  <c r="W24" i="3"/>
  <c r="M24" i="3"/>
  <c r="N24" i="3"/>
  <c r="P24" i="3"/>
  <c r="T24" i="3"/>
  <c r="V24" i="3"/>
  <c r="S24" i="3"/>
  <c r="J16" i="1"/>
  <c r="K16" i="1"/>
  <c r="J15" i="1"/>
  <c r="K15" i="1"/>
  <c r="J29" i="1"/>
  <c r="I30" i="1"/>
  <c r="K30" i="1" s="1"/>
  <c r="H31" i="1"/>
  <c r="E25" i="3" l="1"/>
  <c r="I14" i="3"/>
  <c r="J14" i="3" s="1"/>
  <c r="I15" i="3"/>
  <c r="J15" i="3" s="1"/>
  <c r="I17" i="3"/>
  <c r="J17" i="3" s="1"/>
  <c r="H25" i="3"/>
  <c r="I25" i="3" s="1"/>
  <c r="I13" i="3"/>
  <c r="J13" i="3" s="1"/>
  <c r="I20" i="3"/>
  <c r="J20" i="3" s="1"/>
  <c r="I18" i="3"/>
  <c r="J18" i="3" s="1"/>
  <c r="I11" i="3"/>
  <c r="J11" i="3" s="1"/>
  <c r="I12" i="3"/>
  <c r="J12" i="3" s="1"/>
  <c r="F25" i="3"/>
  <c r="I23" i="3"/>
  <c r="J23" i="3" s="1"/>
  <c r="F23" i="3"/>
  <c r="G23" i="3" s="1"/>
  <c r="I16" i="3"/>
  <c r="J16" i="3" s="1"/>
  <c r="I19" i="3"/>
  <c r="J19" i="3" s="1"/>
  <c r="I24" i="3"/>
  <c r="F24" i="3"/>
  <c r="F22" i="3"/>
  <c r="G22" i="3" s="1"/>
  <c r="I22" i="3"/>
  <c r="J22" i="3" s="1"/>
  <c r="I21" i="3"/>
  <c r="J21" i="3" s="1"/>
  <c r="F21" i="3"/>
  <c r="G21" i="3" s="1"/>
  <c r="B24" i="3"/>
  <c r="G24" i="3" s="1"/>
  <c r="P25" i="3"/>
  <c r="V25" i="3"/>
  <c r="U25" i="3"/>
  <c r="S25" i="3"/>
  <c r="A26" i="3"/>
  <c r="C26" i="3" s="1"/>
  <c r="O25" i="3"/>
  <c r="M25" i="3"/>
  <c r="N25" i="3"/>
  <c r="R25" i="3"/>
  <c r="T25" i="3"/>
  <c r="X25" i="3"/>
  <c r="Q25" i="3"/>
  <c r="W25" i="3"/>
  <c r="L25" i="3"/>
  <c r="J30" i="1"/>
  <c r="H32" i="1"/>
  <c r="I31" i="1"/>
  <c r="K31" i="1" s="1"/>
  <c r="H26" i="3" l="1"/>
  <c r="E26" i="3"/>
  <c r="J24" i="3"/>
  <c r="B25" i="3"/>
  <c r="O26" i="3"/>
  <c r="T26" i="3"/>
  <c r="N26" i="3"/>
  <c r="A27" i="3"/>
  <c r="C27" i="3" s="1"/>
  <c r="M26" i="3"/>
  <c r="W26" i="3"/>
  <c r="S26" i="3"/>
  <c r="Q26" i="3"/>
  <c r="V26" i="3"/>
  <c r="U26" i="3"/>
  <c r="L26" i="3"/>
  <c r="P26" i="3"/>
  <c r="R26" i="3"/>
  <c r="X26" i="3"/>
  <c r="J31" i="1"/>
  <c r="H33" i="1"/>
  <c r="I32" i="1"/>
  <c r="K32" i="1" s="1"/>
  <c r="J25" i="3" l="1"/>
  <c r="G25" i="3"/>
  <c r="H27" i="3"/>
  <c r="E27" i="3"/>
  <c r="I26" i="3"/>
  <c r="F26" i="3"/>
  <c r="B26" i="3"/>
  <c r="G26" i="3" s="1"/>
  <c r="A28" i="3"/>
  <c r="C28" i="3" s="1"/>
  <c r="X27" i="3"/>
  <c r="L27" i="3"/>
  <c r="R27" i="3"/>
  <c r="Q27" i="3"/>
  <c r="O27" i="3"/>
  <c r="U27" i="3"/>
  <c r="W27" i="3"/>
  <c r="V27" i="3"/>
  <c r="S27" i="3"/>
  <c r="N27" i="3"/>
  <c r="T27" i="3"/>
  <c r="P27" i="3"/>
  <c r="M27" i="3"/>
  <c r="J32" i="1"/>
  <c r="I3" i="1"/>
  <c r="I33" i="1"/>
  <c r="K33" i="1" s="1"/>
  <c r="J26" i="3" l="1"/>
  <c r="F27" i="3"/>
  <c r="I27" i="3"/>
  <c r="H28" i="3"/>
  <c r="E28" i="3"/>
  <c r="B27" i="3"/>
  <c r="G27" i="3" s="1"/>
  <c r="P28" i="3"/>
  <c r="V28" i="3"/>
  <c r="U28" i="3"/>
  <c r="S28" i="3"/>
  <c r="O28" i="3"/>
  <c r="M28" i="3"/>
  <c r="A29" i="3"/>
  <c r="C29" i="3" s="1"/>
  <c r="L28" i="3"/>
  <c r="N28" i="3"/>
  <c r="Q28" i="3"/>
  <c r="R28" i="3"/>
  <c r="T28" i="3"/>
  <c r="W28" i="3"/>
  <c r="X28" i="3"/>
  <c r="J33" i="1"/>
  <c r="J3" i="1"/>
  <c r="B7" i="1" s="1"/>
  <c r="B8" i="1" s="1"/>
  <c r="K3" i="1"/>
  <c r="B9" i="1" s="1"/>
  <c r="I20" i="1"/>
  <c r="K20" i="1" s="1"/>
  <c r="H3" i="1"/>
  <c r="B12" i="1"/>
  <c r="J27" i="3" l="1"/>
  <c r="F28" i="3"/>
  <c r="I28" i="3"/>
  <c r="H29" i="3"/>
  <c r="E29" i="3"/>
  <c r="B28" i="3"/>
  <c r="G28" i="3" s="1"/>
  <c r="T29" i="3"/>
  <c r="N29" i="3"/>
  <c r="A30" i="3"/>
  <c r="C30" i="3" s="1"/>
  <c r="M29" i="3"/>
  <c r="W29" i="3"/>
  <c r="Q29" i="3"/>
  <c r="S29" i="3"/>
  <c r="P29" i="3"/>
  <c r="R29" i="3"/>
  <c r="U29" i="3"/>
  <c r="V29" i="3"/>
  <c r="X29" i="3"/>
  <c r="L29" i="3"/>
  <c r="O29" i="3"/>
  <c r="B15" i="1"/>
  <c r="J20" i="1"/>
  <c r="B16" i="1"/>
  <c r="H20" i="1"/>
  <c r="B21" i="1"/>
  <c r="J28" i="3" l="1"/>
  <c r="I29" i="3"/>
  <c r="F29" i="3"/>
  <c r="H30" i="3"/>
  <c r="E30" i="3"/>
  <c r="A31" i="3"/>
  <c r="C31" i="3" s="1"/>
  <c r="X30" i="3"/>
  <c r="L30" i="3"/>
  <c r="R30" i="3"/>
  <c r="Q30" i="3"/>
  <c r="O30" i="3"/>
  <c r="W30" i="3"/>
  <c r="U30" i="3"/>
  <c r="P30" i="3"/>
  <c r="S30" i="3"/>
  <c r="T30" i="3"/>
  <c r="V30" i="3"/>
  <c r="M30" i="3"/>
  <c r="N30" i="3"/>
  <c r="B29" i="3"/>
  <c r="B18" i="1"/>
  <c r="B23" i="1" s="1"/>
  <c r="G29" i="3" l="1"/>
  <c r="J29" i="3"/>
  <c r="H31" i="3"/>
  <c r="E31" i="3"/>
  <c r="I30" i="3"/>
  <c r="F30" i="3"/>
  <c r="B30" i="3"/>
  <c r="G30" i="3" s="1"/>
  <c r="S31" i="3"/>
  <c r="M31" i="3"/>
  <c r="V31" i="3"/>
  <c r="O31" i="3"/>
  <c r="P31" i="3"/>
  <c r="U31" i="3"/>
  <c r="Q31" i="3"/>
  <c r="L31" i="3"/>
  <c r="X31" i="3"/>
  <c r="T31" i="3"/>
  <c r="N31" i="3"/>
  <c r="W31" i="3"/>
  <c r="R31" i="3"/>
  <c r="J30" i="3" l="1"/>
  <c r="I31" i="3"/>
  <c r="F31" i="3"/>
  <c r="B31" i="3"/>
  <c r="G31" i="3" s="1"/>
  <c r="J31" i="3" l="1"/>
</calcChain>
</file>

<file path=xl/sharedStrings.xml><?xml version="1.0" encoding="utf-8"?>
<sst xmlns="http://schemas.openxmlformats.org/spreadsheetml/2006/main" count="52" uniqueCount="38">
  <si>
    <t>Data da Liquidação</t>
  </si>
  <si>
    <t>Duração e Convexidade</t>
  </si>
  <si>
    <t>Data do Resgate</t>
  </si>
  <si>
    <t>Cupom nr.</t>
  </si>
  <si>
    <t>Data Cupons</t>
  </si>
  <si>
    <t>Dias Corridos</t>
  </si>
  <si>
    <t>Dias 252</t>
  </si>
  <si>
    <t>Fluxo do Papel</t>
  </si>
  <si>
    <t>Fluxo Descontado</t>
  </si>
  <si>
    <r>
      <t xml:space="preserve">Convexidade </t>
    </r>
    <r>
      <rPr>
        <vertAlign val="superscript"/>
        <sz val="14"/>
        <color rgb="FFFF0000"/>
        <rFont val="Berlin Sans FB"/>
        <family val="2"/>
      </rPr>
      <t>ano</t>
    </r>
  </si>
  <si>
    <t>Juros % a.a.</t>
  </si>
  <si>
    <t>TIR:</t>
  </si>
  <si>
    <t>Duration ano</t>
  </si>
  <si>
    <t>Convexidade ano</t>
  </si>
  <si>
    <t>Dias úteis</t>
  </si>
  <si>
    <t>PU</t>
  </si>
  <si>
    <t>Ajuste Duration $</t>
  </si>
  <si>
    <t>Ajuste Convexidade $</t>
  </si>
  <si>
    <t>PU estimado</t>
  </si>
  <si>
    <t>Conferência de Preço</t>
  </si>
  <si>
    <t>TIR nova</t>
  </si>
  <si>
    <t>Novo Preço</t>
  </si>
  <si>
    <t>Erro</t>
  </si>
  <si>
    <r>
      <t xml:space="preserve">Duration </t>
    </r>
    <r>
      <rPr>
        <vertAlign val="superscript"/>
        <sz val="14"/>
        <color rgb="FFFF0000"/>
        <rFont val="Berlin Sans FB"/>
        <family val="2"/>
      </rPr>
      <t>ano</t>
    </r>
  </si>
  <si>
    <t>Duration Modificada</t>
  </si>
  <si>
    <t>Preço</t>
  </si>
  <si>
    <t>Duration</t>
  </si>
  <si>
    <t>Convexidade</t>
  </si>
  <si>
    <t>Taxa (TIR)</t>
  </si>
  <si>
    <t>Preço DM</t>
  </si>
  <si>
    <t>Preço DM + Convex</t>
  </si>
  <si>
    <r>
      <rPr>
        <sz val="14"/>
        <color indexed="10"/>
        <rFont val="Arial"/>
        <family val="2"/>
      </rPr>
      <t>Δ</t>
    </r>
    <r>
      <rPr>
        <sz val="14"/>
        <color indexed="10"/>
        <rFont val="Berlin Sans FB"/>
        <family val="2"/>
      </rPr>
      <t xml:space="preserve"> taxa</t>
    </r>
  </si>
  <si>
    <t>Cupom</t>
  </si>
  <si>
    <t>Ano</t>
  </si>
  <si>
    <t>TIR</t>
  </si>
  <si>
    <t>$ Convex</t>
  </si>
  <si>
    <t>$ DM</t>
  </si>
  <si>
    <r>
      <rPr>
        <sz val="14"/>
        <color indexed="10"/>
        <rFont val="Arial"/>
        <family val="2"/>
      </rPr>
      <t>Δ</t>
    </r>
    <r>
      <rPr>
        <sz val="14"/>
        <color indexed="10"/>
        <rFont val="Berlin Sans FB"/>
        <family val="2"/>
      </rPr>
      <t xml:space="preserve"> Preço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</si>
</sst>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0.0000000"/>
    <numFmt numFmtId="166" formatCode="#,##0.0000"/>
    <numFmt numFmtId="167" formatCode="0.000000"/>
    <numFmt numFmtId="168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Berlin Sans FB"/>
      <family val="2"/>
    </font>
    <font>
      <b/>
      <sz val="14"/>
      <name val="Berlin Sans FB"/>
      <family val="2"/>
    </font>
    <font>
      <sz val="14"/>
      <color indexed="10"/>
      <name val="Berlin Sans FB"/>
      <family val="2"/>
    </font>
    <font>
      <sz val="14"/>
      <color rgb="FFFF0000"/>
      <name val="Berlin Sans FB"/>
      <family val="2"/>
    </font>
    <font>
      <vertAlign val="superscript"/>
      <sz val="14"/>
      <color rgb="FFFF0000"/>
      <name val="Berlin Sans FB"/>
      <family val="2"/>
    </font>
    <font>
      <b/>
      <sz val="14"/>
      <name val="Arial Rounded MT Bold"/>
      <family val="2"/>
    </font>
    <font>
      <b/>
      <sz val="14"/>
      <color theme="0"/>
      <name val="Berlin Sans FB"/>
      <family val="2"/>
    </font>
    <font>
      <sz val="14"/>
      <color rgb="FFC00000"/>
      <name val="Berlin Sans FB"/>
      <family val="2"/>
    </font>
    <font>
      <sz val="14"/>
      <color indexed="10"/>
      <name val="Arial"/>
      <family val="2"/>
    </font>
    <font>
      <sz val="11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4"/>
      <color rgb="FF0070C0"/>
      <name val="Berlin Sans FB"/>
      <family val="2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b/>
      <sz val="16"/>
      <color theme="7" tint="-0.499984740745262"/>
      <name val="Calibri"/>
      <family val="2"/>
      <scheme val="minor"/>
    </font>
    <font>
      <sz val="12"/>
      <name val="Arial Rounded MT Bold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theme="1" tint="0.499984740745262"/>
      </left>
      <right style="dotted">
        <color indexed="64"/>
      </right>
      <top style="medium">
        <color theme="1" tint="0.499984740745262"/>
      </top>
      <bottom style="hair">
        <color indexed="64"/>
      </bottom>
      <diagonal/>
    </border>
    <border>
      <left style="dotted">
        <color indexed="64"/>
      </left>
      <right style="medium">
        <color theme="1" tint="0.499984740745262"/>
      </right>
      <top style="medium">
        <color theme="1" tint="0.499984740745262"/>
      </top>
      <bottom style="hair">
        <color indexed="6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hair">
        <color indexed="64"/>
      </bottom>
      <diagonal/>
    </border>
    <border>
      <left/>
      <right/>
      <top style="medium">
        <color theme="1" tint="0.499984740745262"/>
      </top>
      <bottom style="hair">
        <color indexed="64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hair">
        <color indexed="64"/>
      </bottom>
      <diagonal/>
    </border>
    <border>
      <left style="medium">
        <color theme="1" tint="0.499984740745262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theme="1" tint="0.499984740745262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1" tint="0.499984740745262"/>
      </left>
      <right style="dotted">
        <color indexed="64"/>
      </right>
      <top style="hair">
        <color indexed="64"/>
      </top>
      <bottom style="medium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hair">
        <color indexed="64"/>
      </top>
      <bottom style="medium">
        <color theme="1" tint="0.499984740745262"/>
      </bottom>
      <diagonal/>
    </border>
    <border>
      <left style="medium">
        <color theme="1" tint="0.499984740745262"/>
      </left>
      <right style="dotted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dotted">
        <color indexed="64"/>
      </right>
      <top style="medium">
        <color theme="1" tint="0.499984740745262"/>
      </top>
      <bottom style="dashed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medium">
        <color theme="1" tint="0.499984740745262"/>
      </top>
      <bottom style="dashed">
        <color theme="1" tint="0.499984740745262"/>
      </bottom>
      <diagonal/>
    </border>
    <border>
      <left style="medium">
        <color theme="1" tint="0.499984740745262"/>
      </left>
      <right style="dotted">
        <color indexed="64"/>
      </right>
      <top style="dashed">
        <color theme="1" tint="0.499984740745262"/>
      </top>
      <bottom style="dashed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theme="1" tint="0.499984740745262"/>
      </left>
      <right style="dotted">
        <color indexed="64"/>
      </right>
      <top style="dashed">
        <color theme="1" tint="0.499984740745262"/>
      </top>
      <bottom style="medium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dashed">
        <color theme="1" tint="0.499984740745262"/>
      </top>
      <bottom style="medium">
        <color theme="1" tint="0.499984740745262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theme="1" tint="0.499984740745262"/>
      </bottom>
      <diagonal/>
    </border>
    <border>
      <left style="medium">
        <color theme="1" tint="0.499984740745262"/>
      </left>
      <right style="dotted">
        <color indexed="64"/>
      </right>
      <top style="medium">
        <color theme="1" tint="0.499984740745262"/>
      </top>
      <bottom style="dotted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medium">
        <color theme="1" tint="0.499984740745262"/>
      </top>
      <bottom style="dotted">
        <color theme="1" tint="0.499984740745262"/>
      </bottom>
      <diagonal/>
    </border>
    <border>
      <left style="medium">
        <color theme="1" tint="0.499984740745262"/>
      </left>
      <right style="dotted">
        <color indexed="64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medium">
        <color theme="1" tint="0.499984740745262"/>
      </left>
      <right style="dotted">
        <color indexed="64"/>
      </right>
      <top style="dotted">
        <color theme="1" tint="0.499984740745262"/>
      </top>
      <bottom style="medium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dotted">
        <color theme="1" tint="0.499984740745262"/>
      </top>
      <bottom style="medium">
        <color theme="1" tint="0.499984740745262"/>
      </bottom>
      <diagonal/>
    </border>
    <border>
      <left style="dotted">
        <color indexed="64"/>
      </left>
      <right style="dotted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medium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medium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medium">
        <color theme="1" tint="0.499984740745262"/>
      </top>
      <bottom style="dotted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dotted">
        <color theme="1" tint="0.499984740745262"/>
      </top>
      <bottom style="dotted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dotted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dotted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/>
      <bottom style="dotted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/>
      <bottom style="dotted">
        <color theme="1" tint="0.499984740745262"/>
      </bottom>
      <diagonal/>
    </border>
    <border>
      <left style="medium">
        <color theme="1" tint="0.499984740745262"/>
      </left>
      <right style="dotted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dotted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2" fillId="2" borderId="1" xfId="0" applyFont="1" applyFill="1" applyBorder="1" applyProtection="1">
      <protection locked="0" hidden="1"/>
    </xf>
    <xf numFmtId="14" fontId="2" fillId="3" borderId="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 hidden="1"/>
    </xf>
    <xf numFmtId="14" fontId="2" fillId="3" borderId="7" xfId="0" applyNumberFormat="1" applyFont="1" applyFill="1" applyBorder="1" applyProtection="1">
      <protection locked="0"/>
    </xf>
    <xf numFmtId="0" fontId="4" fillId="3" borderId="6" xfId="0" applyFont="1" applyFill="1" applyBorder="1" applyAlignment="1" applyProtection="1">
      <alignment horizontal="center"/>
      <protection locked="0" hidden="1"/>
    </xf>
    <xf numFmtId="0" fontId="4" fillId="3" borderId="8" xfId="0" applyFont="1" applyFill="1" applyBorder="1" applyAlignment="1" applyProtection="1">
      <alignment horizontal="center"/>
      <protection locked="0" hidden="1"/>
    </xf>
    <xf numFmtId="0" fontId="4" fillId="2" borderId="8" xfId="0" applyFont="1" applyFill="1" applyBorder="1" applyAlignment="1" applyProtection="1">
      <alignment horizontal="center"/>
      <protection locked="0" hidden="1"/>
    </xf>
    <xf numFmtId="0" fontId="5" fillId="2" borderId="7" xfId="0" applyFont="1" applyFill="1" applyBorder="1" applyAlignment="1" applyProtection="1">
      <alignment horizontal="center"/>
      <protection locked="0" hidden="1"/>
    </xf>
    <xf numFmtId="0" fontId="2" fillId="2" borderId="9" xfId="0" applyFont="1" applyFill="1" applyBorder="1" applyProtection="1">
      <protection locked="0" hidden="1"/>
    </xf>
    <xf numFmtId="9" fontId="2" fillId="4" borderId="10" xfId="0" applyNumberFormat="1" applyFont="1" applyFill="1" applyBorder="1" applyProtection="1">
      <protection locked="0"/>
    </xf>
    <xf numFmtId="0" fontId="3" fillId="3" borderId="6" xfId="0" applyFont="1" applyFill="1" applyBorder="1" applyProtection="1">
      <protection locked="0" hidden="1"/>
    </xf>
    <xf numFmtId="0" fontId="3" fillId="3" borderId="8" xfId="0" applyFont="1" applyFill="1" applyBorder="1" applyProtection="1">
      <protection locked="0" hidden="1"/>
    </xf>
    <xf numFmtId="164" fontId="7" fillId="5" borderId="8" xfId="0" applyNumberFormat="1" applyFont="1" applyFill="1" applyBorder="1" applyProtection="1">
      <protection locked="0" hidden="1"/>
    </xf>
    <xf numFmtId="4" fontId="3" fillId="6" borderId="7" xfId="0" applyNumberFormat="1" applyFont="1" applyFill="1" applyBorder="1" applyAlignment="1" applyProtection="1">
      <alignment horizontal="center"/>
      <protection locked="0" hidden="1"/>
    </xf>
    <xf numFmtId="0" fontId="2" fillId="3" borderId="6" xfId="0" applyFont="1" applyFill="1" applyBorder="1" applyAlignment="1" applyProtection="1">
      <alignment horizontal="center"/>
      <protection locked="0" hidden="1"/>
    </xf>
    <xf numFmtId="14" fontId="2" fillId="3" borderId="8" xfId="0" applyNumberFormat="1" applyFont="1" applyFill="1" applyBorder="1" applyAlignment="1" applyProtection="1">
      <alignment horizontal="center"/>
      <protection locked="0" hidden="1"/>
    </xf>
    <xf numFmtId="3" fontId="2" fillId="3" borderId="8" xfId="0" applyNumberFormat="1" applyFont="1" applyFill="1" applyBorder="1" applyAlignment="1" applyProtection="1">
      <alignment horizontal="center"/>
      <protection locked="0" hidden="1"/>
    </xf>
    <xf numFmtId="0" fontId="2" fillId="7" borderId="8" xfId="0" applyFont="1" applyFill="1" applyBorder="1" applyAlignment="1" applyProtection="1">
      <alignment horizontal="center"/>
      <protection locked="0" hidden="1"/>
    </xf>
    <xf numFmtId="165" fontId="2" fillId="7" borderId="8" xfId="0" applyNumberFormat="1" applyFont="1" applyFill="1" applyBorder="1" applyAlignment="1" applyProtection="1">
      <alignment horizontal="center"/>
      <protection locked="0" hidden="1"/>
    </xf>
    <xf numFmtId="3" fontId="2" fillId="8" borderId="7" xfId="0" applyNumberFormat="1" applyFont="1" applyFill="1" applyBorder="1" applyAlignment="1" applyProtection="1">
      <alignment horizontal="center"/>
      <protection locked="0" hidden="1"/>
    </xf>
    <xf numFmtId="0" fontId="2" fillId="2" borderId="11" xfId="0" applyFont="1" applyFill="1" applyBorder="1" applyProtection="1">
      <protection locked="0" hidden="1"/>
    </xf>
    <xf numFmtId="166" fontId="2" fillId="4" borderId="12" xfId="0" applyNumberFormat="1" applyFont="1" applyFill="1" applyBorder="1" applyProtection="1">
      <protection locked="0" hidden="1"/>
    </xf>
    <xf numFmtId="0" fontId="2" fillId="2" borderId="13" xfId="0" applyFont="1" applyFill="1" applyBorder="1" applyProtection="1">
      <protection locked="0" hidden="1"/>
    </xf>
    <xf numFmtId="4" fontId="2" fillId="9" borderId="14" xfId="0" applyNumberFormat="1" applyFont="1" applyFill="1" applyBorder="1" applyProtection="1">
      <protection locked="0" hidden="1"/>
    </xf>
    <xf numFmtId="0" fontId="2" fillId="2" borderId="15" xfId="0" applyFont="1" applyFill="1" applyBorder="1" applyProtection="1">
      <protection locked="0" hidden="1"/>
    </xf>
    <xf numFmtId="4" fontId="2" fillId="9" borderId="16" xfId="0" applyNumberFormat="1" applyFont="1" applyFill="1" applyBorder="1" applyProtection="1">
      <protection locked="0" hidden="1"/>
    </xf>
    <xf numFmtId="0" fontId="2" fillId="2" borderId="15" xfId="0" applyFont="1" applyFill="1" applyBorder="1" applyAlignment="1" applyProtection="1">
      <alignment horizontal="left"/>
      <protection locked="0" hidden="1"/>
    </xf>
    <xf numFmtId="3" fontId="2" fillId="9" borderId="16" xfId="0" applyNumberFormat="1" applyFont="1" applyFill="1" applyBorder="1" applyProtection="1">
      <protection locked="0" hidden="1"/>
    </xf>
    <xf numFmtId="167" fontId="2" fillId="2" borderId="15" xfId="0" applyNumberFormat="1" applyFont="1" applyFill="1" applyBorder="1" applyAlignment="1" applyProtection="1">
      <alignment horizontal="left"/>
      <protection locked="0" hidden="1"/>
    </xf>
    <xf numFmtId="167" fontId="2" fillId="2" borderId="17" xfId="0" applyNumberFormat="1" applyFont="1" applyFill="1" applyBorder="1" applyProtection="1">
      <protection locked="0" hidden="1"/>
    </xf>
    <xf numFmtId="164" fontId="2" fillId="10" borderId="18" xfId="0" applyNumberFormat="1" applyFont="1" applyFill="1" applyBorder="1" applyProtection="1">
      <protection locked="0" hidden="1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166" fontId="2" fillId="9" borderId="16" xfId="0" applyNumberFormat="1" applyFont="1" applyFill="1" applyBorder="1" applyProtection="1">
      <protection locked="0" hidden="1"/>
    </xf>
    <xf numFmtId="0" fontId="2" fillId="3" borderId="9" xfId="0" applyFont="1" applyFill="1" applyBorder="1" applyAlignment="1" applyProtection="1">
      <alignment horizontal="center"/>
      <protection locked="0" hidden="1"/>
    </xf>
    <xf numFmtId="14" fontId="2" fillId="3" borderId="19" xfId="0" applyNumberFormat="1" applyFont="1" applyFill="1" applyBorder="1" applyAlignment="1" applyProtection="1">
      <alignment horizontal="center"/>
      <protection locked="0" hidden="1"/>
    </xf>
    <xf numFmtId="3" fontId="2" fillId="3" borderId="19" xfId="0" applyNumberFormat="1" applyFont="1" applyFill="1" applyBorder="1" applyAlignment="1" applyProtection="1">
      <alignment horizontal="center"/>
      <protection locked="0" hidden="1"/>
    </xf>
    <xf numFmtId="0" fontId="2" fillId="7" borderId="19" xfId="0" applyFont="1" applyFill="1" applyBorder="1" applyAlignment="1" applyProtection="1">
      <alignment horizontal="center"/>
      <protection locked="0" hidden="1"/>
    </xf>
    <xf numFmtId="165" fontId="2" fillId="7" borderId="19" xfId="0" applyNumberFormat="1" applyFont="1" applyFill="1" applyBorder="1" applyAlignment="1" applyProtection="1">
      <alignment horizontal="center"/>
      <protection locked="0" hidden="1"/>
    </xf>
    <xf numFmtId="3" fontId="2" fillId="8" borderId="10" xfId="0" applyNumberFormat="1" applyFont="1" applyFill="1" applyBorder="1" applyAlignment="1" applyProtection="1">
      <alignment horizontal="center"/>
      <protection locked="0" hidden="1"/>
    </xf>
    <xf numFmtId="167" fontId="2" fillId="2" borderId="11" xfId="0" applyNumberFormat="1" applyFont="1" applyFill="1" applyBorder="1" applyProtection="1">
      <protection locked="0" hidden="1"/>
    </xf>
    <xf numFmtId="164" fontId="2" fillId="10" borderId="12" xfId="0" applyNumberFormat="1" applyFont="1" applyFill="1" applyBorder="1" applyProtection="1">
      <protection locked="0" hidden="1"/>
    </xf>
    <xf numFmtId="166" fontId="2" fillId="9" borderId="14" xfId="0" applyNumberFormat="1" applyFont="1" applyFill="1" applyBorder="1" applyProtection="1">
      <protection locked="0" hidden="1"/>
    </xf>
    <xf numFmtId="167" fontId="9" fillId="2" borderId="11" xfId="0" applyNumberFormat="1" applyFont="1" applyFill="1" applyBorder="1" applyProtection="1">
      <protection locked="0" hidden="1"/>
    </xf>
    <xf numFmtId="164" fontId="2" fillId="12" borderId="12" xfId="0" applyNumberFormat="1" applyFont="1" applyFill="1" applyBorder="1" applyProtection="1">
      <protection locked="0" hidden="1"/>
    </xf>
    <xf numFmtId="2" fontId="2" fillId="9" borderId="16" xfId="1" applyNumberFormat="1" applyFont="1" applyFill="1" applyBorder="1" applyProtection="1">
      <protection locked="0" hidden="1"/>
    </xf>
    <xf numFmtId="164" fontId="0" fillId="0" borderId="0" xfId="0" applyNumberFormat="1"/>
    <xf numFmtId="14" fontId="0" fillId="0" borderId="0" xfId="0" applyNumberFormat="1"/>
    <xf numFmtId="166" fontId="3" fillId="6" borderId="7" xfId="0" applyNumberFormat="1" applyFont="1" applyFill="1" applyBorder="1" applyAlignment="1" applyProtection="1">
      <alignment horizontal="center"/>
      <protection locked="0" hidden="1"/>
    </xf>
    <xf numFmtId="14" fontId="2" fillId="3" borderId="0" xfId="0" applyNumberFormat="1" applyFont="1" applyFill="1" applyProtection="1">
      <protection locked="0"/>
    </xf>
    <xf numFmtId="0" fontId="2" fillId="2" borderId="0" xfId="0" applyFont="1" applyFill="1" applyProtection="1">
      <protection locked="0" hidden="1"/>
    </xf>
    <xf numFmtId="0" fontId="11" fillId="7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13" fillId="7" borderId="2" xfId="0" applyNumberFormat="1" applyFont="1" applyFill="1" applyBorder="1" applyProtection="1">
      <protection locked="0"/>
    </xf>
    <xf numFmtId="2" fontId="13" fillId="7" borderId="10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 hidden="1"/>
    </xf>
    <xf numFmtId="14" fontId="2" fillId="3" borderId="21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 hidden="1"/>
    </xf>
    <xf numFmtId="14" fontId="2" fillId="3" borderId="23" xfId="0" applyNumberFormat="1" applyFont="1" applyFill="1" applyBorder="1" applyProtection="1">
      <protection locked="0"/>
    </xf>
    <xf numFmtId="9" fontId="2" fillId="4" borderId="23" xfId="0" applyNumberFormat="1" applyFont="1" applyFill="1" applyBorder="1" applyProtection="1">
      <protection locked="0"/>
    </xf>
    <xf numFmtId="0" fontId="2" fillId="2" borderId="24" xfId="0" applyFont="1" applyFill="1" applyBorder="1" applyProtection="1">
      <protection locked="0" hidden="1"/>
    </xf>
    <xf numFmtId="9" fontId="13" fillId="7" borderId="25" xfId="0" applyNumberFormat="1" applyFont="1" applyFill="1" applyBorder="1" applyProtection="1">
      <protection locked="0"/>
    </xf>
    <xf numFmtId="167" fontId="20" fillId="2" borderId="13" xfId="0" applyNumberFormat="1" applyFont="1" applyFill="1" applyBorder="1" applyAlignment="1" applyProtection="1">
      <alignment horizontal="left"/>
      <protection locked="0" hidden="1"/>
    </xf>
    <xf numFmtId="167" fontId="20" fillId="2" borderId="15" xfId="0" applyNumberFormat="1" applyFont="1" applyFill="1" applyBorder="1" applyAlignment="1" applyProtection="1">
      <alignment horizontal="left"/>
      <protection locked="0" hidden="1"/>
    </xf>
    <xf numFmtId="167" fontId="20" fillId="2" borderId="17" xfId="0" applyNumberFormat="1" applyFont="1" applyFill="1" applyBorder="1" applyAlignment="1" applyProtection="1">
      <alignment horizontal="left"/>
      <protection locked="0" hidden="1"/>
    </xf>
    <xf numFmtId="0" fontId="4" fillId="3" borderId="11" xfId="0" applyFont="1" applyFill="1" applyBorder="1" applyAlignment="1" applyProtection="1">
      <alignment horizontal="center"/>
      <protection locked="0" hidden="1"/>
    </xf>
    <xf numFmtId="0" fontId="4" fillId="3" borderId="26" xfId="0" applyFont="1" applyFill="1" applyBorder="1" applyAlignment="1" applyProtection="1">
      <alignment horizontal="center"/>
      <protection locked="0" hidden="1"/>
    </xf>
    <xf numFmtId="0" fontId="4" fillId="13" borderId="26" xfId="0" applyFont="1" applyFill="1" applyBorder="1" applyAlignment="1" applyProtection="1">
      <alignment horizontal="center"/>
      <protection locked="0" hidden="1"/>
    </xf>
    <xf numFmtId="0" fontId="4" fillId="3" borderId="12" xfId="0" applyFont="1" applyFill="1" applyBorder="1" applyAlignment="1" applyProtection="1">
      <alignment horizontal="center"/>
      <protection locked="0" hidden="1"/>
    </xf>
    <xf numFmtId="168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15" fillId="0" borderId="28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18" fillId="0" borderId="29" xfId="0" applyNumberFormat="1" applyFont="1" applyBorder="1" applyAlignment="1">
      <alignment horizontal="center" vertical="center"/>
    </xf>
    <xf numFmtId="168" fontId="0" fillId="0" borderId="30" xfId="0" applyNumberForma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/>
    </xf>
    <xf numFmtId="4" fontId="15" fillId="0" borderId="31" xfId="0" applyNumberFormat="1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4" fontId="18" fillId="0" borderId="32" xfId="0" applyNumberFormat="1" applyFont="1" applyBorder="1" applyAlignment="1">
      <alignment horizontal="center" vertical="center"/>
    </xf>
    <xf numFmtId="168" fontId="16" fillId="7" borderId="30" xfId="0" applyNumberFormat="1" applyFont="1" applyFill="1" applyBorder="1" applyAlignment="1">
      <alignment horizontal="center" vertical="center"/>
    </xf>
    <xf numFmtId="4" fontId="16" fillId="7" borderId="31" xfId="0" applyNumberFormat="1" applyFont="1" applyFill="1" applyBorder="1" applyAlignment="1">
      <alignment horizontal="center" vertical="center"/>
    </xf>
    <xf numFmtId="4" fontId="19" fillId="7" borderId="31" xfId="0" applyNumberFormat="1" applyFont="1" applyFill="1" applyBorder="1" applyAlignment="1">
      <alignment horizontal="center" vertical="center"/>
    </xf>
    <xf numFmtId="4" fontId="19" fillId="7" borderId="32" xfId="0" applyNumberFormat="1" applyFont="1" applyFill="1" applyBorder="1" applyAlignment="1">
      <alignment horizontal="center" vertical="center"/>
    </xf>
    <xf numFmtId="4" fontId="14" fillId="0" borderId="31" xfId="0" applyNumberFormat="1" applyFont="1" applyBorder="1" applyAlignment="1">
      <alignment horizontal="center" vertical="center"/>
    </xf>
    <xf numFmtId="168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14" fillId="0" borderId="34" xfId="0" applyNumberFormat="1" applyFont="1" applyBorder="1" applyAlignment="1">
      <alignment horizontal="center" vertical="center"/>
    </xf>
    <xf numFmtId="4" fontId="18" fillId="0" borderId="34" xfId="0" applyNumberFormat="1" applyFont="1" applyBorder="1" applyAlignment="1">
      <alignment horizontal="center" vertical="center"/>
    </xf>
    <xf numFmtId="4" fontId="18" fillId="0" borderId="35" xfId="0" applyNumberFormat="1" applyFon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4" fontId="17" fillId="7" borderId="30" xfId="0" applyNumberFormat="1" applyFont="1" applyFill="1" applyBorder="1" applyAlignment="1">
      <alignment horizontal="center" vertical="center"/>
    </xf>
    <xf numFmtId="4" fontId="17" fillId="7" borderId="31" xfId="0" applyNumberFormat="1" applyFont="1" applyFill="1" applyBorder="1" applyAlignment="1">
      <alignment horizontal="center" vertical="center"/>
    </xf>
    <xf numFmtId="4" fontId="17" fillId="7" borderId="32" xfId="0" applyNumberFormat="1" applyFon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4" fontId="0" fillId="0" borderId="36" xfId="0" applyNumberFormat="1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3" fontId="2" fillId="3" borderId="39" xfId="0" applyNumberFormat="1" applyFont="1" applyFill="1" applyBorder="1" applyAlignment="1" applyProtection="1">
      <alignment horizontal="center"/>
      <protection locked="0" hidden="1"/>
    </xf>
    <xf numFmtId="3" fontId="2" fillId="3" borderId="40" xfId="0" applyNumberFormat="1" applyFont="1" applyFill="1" applyBorder="1" applyAlignment="1" applyProtection="1">
      <alignment horizontal="center"/>
      <protection locked="0" hidden="1"/>
    </xf>
    <xf numFmtId="3" fontId="2" fillId="3" borderId="41" xfId="0" applyNumberFormat="1" applyFont="1" applyFill="1" applyBorder="1" applyAlignment="1" applyProtection="1">
      <alignment horizontal="center"/>
      <protection locked="0" hidden="1"/>
    </xf>
    <xf numFmtId="0" fontId="11" fillId="0" borderId="39" xfId="0" applyFont="1" applyBorder="1"/>
    <xf numFmtId="0" fontId="11" fillId="0" borderId="40" xfId="0" applyFont="1" applyBorder="1"/>
    <xf numFmtId="0" fontId="11" fillId="0" borderId="41" xfId="0" applyFont="1" applyBorder="1"/>
    <xf numFmtId="0" fontId="3" fillId="2" borderId="3" xfId="0" quotePrefix="1" applyFont="1" applyFill="1" applyBorder="1" applyAlignment="1" applyProtection="1">
      <alignment horizontal="center"/>
      <protection locked="0" hidden="1"/>
    </xf>
    <xf numFmtId="0" fontId="3" fillId="2" borderId="4" xfId="0" quotePrefix="1" applyFont="1" applyFill="1" applyBorder="1" applyAlignment="1" applyProtection="1">
      <alignment horizontal="center"/>
      <protection locked="0" hidden="1"/>
    </xf>
    <xf numFmtId="0" fontId="3" fillId="2" borderId="5" xfId="0" quotePrefix="1" applyFont="1" applyFill="1" applyBorder="1" applyAlignment="1" applyProtection="1">
      <alignment horizontal="center"/>
      <protection locked="0" hidden="1"/>
    </xf>
    <xf numFmtId="0" fontId="8" fillId="11" borderId="3" xfId="0" quotePrefix="1" applyFont="1" applyFill="1" applyBorder="1" applyAlignment="1" applyProtection="1">
      <alignment horizontal="center"/>
      <protection locked="0" hidden="1"/>
    </xf>
    <xf numFmtId="0" fontId="8" fillId="11" borderId="4" xfId="0" quotePrefix="1" applyFont="1" applyFill="1" applyBorder="1" applyAlignment="1" applyProtection="1">
      <alignment horizontal="center"/>
      <protection locked="0" hidden="1"/>
    </xf>
    <xf numFmtId="0" fontId="8" fillId="11" borderId="5" xfId="0" quotePrefix="1" applyFont="1" applyFill="1" applyBorder="1" applyAlignment="1" applyProtection="1">
      <alignment horizontal="center"/>
      <protection locked="0" hidden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'Preço - DM e Convex'!$B$10</c:f>
              <c:strCache>
                <c:ptCount val="1"/>
                <c:pt idx="0">
                  <c:v>Preço</c:v>
                </c:pt>
              </c:strCache>
            </c:strRef>
          </c:tx>
          <c:spPr>
            <a:ln w="412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'Preço - DM e Convex'!$A$11:$A$31</c:f>
              <c:numCache>
                <c:formatCode>#,##0.0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'Preço - DM e Convex'!$B$11:$B$31</c:f>
              <c:numCache>
                <c:formatCode>#,##0.00</c:formatCode>
                <c:ptCount val="21"/>
                <c:pt idx="0">
                  <c:v>1634.51505</c:v>
                </c:pt>
                <c:pt idx="1">
                  <c:v>1555.1705500349999</c:v>
                </c:pt>
                <c:pt idx="2">
                  <c:v>1480.9177696720001</c:v>
                </c:pt>
                <c:pt idx="3">
                  <c:v>1411.3761087180001</c:v>
                </c:pt>
                <c:pt idx="4">
                  <c:v>1346.1970172699998</c:v>
                </c:pt>
                <c:pt idx="5">
                  <c:v>1285.061010159</c:v>
                </c:pt>
                <c:pt idx="6">
                  <c:v>1227.674985201</c:v>
                </c:pt>
                <c:pt idx="7">
                  <c:v>1173.7698118400001</c:v>
                </c:pt>
                <c:pt idx="8">
                  <c:v>1123.0981606589999</c:v>
                </c:pt>
                <c:pt idx="9">
                  <c:v>1075.4325477120001</c:v>
                </c:pt>
                <c:pt idx="10">
                  <c:v>1030.5635706630001</c:v>
                </c:pt>
                <c:pt idx="11">
                  <c:v>988.29831636300003</c:v>
                </c:pt>
                <c:pt idx="12">
                  <c:v>948.45892177399992</c:v>
                </c:pt>
                <c:pt idx="13">
                  <c:v>910.88127234100011</c:v>
                </c:pt>
                <c:pt idx="14">
                  <c:v>875.41382347900003</c:v>
                </c:pt>
                <c:pt idx="15">
                  <c:v>841.91653263600006</c:v>
                </c:pt>
                <c:pt idx="16">
                  <c:v>810.25989067399996</c:v>
                </c:pt>
                <c:pt idx="17">
                  <c:v>780.32404250000013</c:v>
                </c:pt>
                <c:pt idx="18">
                  <c:v>751.99798813100006</c:v>
                </c:pt>
                <c:pt idx="19">
                  <c:v>725.17885614699992</c:v>
                </c:pt>
                <c:pt idx="20">
                  <c:v>699.77124242500008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C-412A-AF62-56F97F9DCB2E}"/>
            </c:ext>
          </c:extLst>
        </c:ser>
        <c:ser>
          <c:idx val="0"/>
          <c:order val="1"/>
          <c:tx>
            <c:strRef>
              <c:f>'Preço - DM e Convex'!$F$10</c:f>
              <c:strCache>
                <c:ptCount val="1"/>
                <c:pt idx="0">
                  <c:v>Preço DM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'Preço - DM e Convex'!$A$11:$A$31</c:f>
              <c:numCache>
                <c:formatCode>#,##0.0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'Preço - DM e Convex'!$F$11:$F$31</c:f>
              <c:numCache>
                <c:formatCode>#,##0.00</c:formatCode>
                <c:ptCount val="21"/>
                <c:pt idx="0">
                  <c:v>1465.9262029596293</c:v>
                </c:pt>
                <c:pt idx="1">
                  <c:v>1422.3899397299663</c:v>
                </c:pt>
                <c:pt idx="2">
                  <c:v>1378.8536765003034</c:v>
                </c:pt>
                <c:pt idx="3">
                  <c:v>1335.3174132706406</c:v>
                </c:pt>
                <c:pt idx="4">
                  <c:v>1291.7811500409775</c:v>
                </c:pt>
                <c:pt idx="5">
                  <c:v>1248.2448868113147</c:v>
                </c:pt>
                <c:pt idx="6">
                  <c:v>1204.7086235816519</c:v>
                </c:pt>
                <c:pt idx="7">
                  <c:v>1161.1723603519888</c:v>
                </c:pt>
                <c:pt idx="8">
                  <c:v>1117.636097122326</c:v>
                </c:pt>
                <c:pt idx="9">
                  <c:v>1074.0998338926629</c:v>
                </c:pt>
                <c:pt idx="10">
                  <c:v>1030.5635706630001</c:v>
                </c:pt>
                <c:pt idx="11">
                  <c:v>987.02730743333711</c:v>
                </c:pt>
                <c:pt idx="12">
                  <c:v>943.49104420367416</c:v>
                </c:pt>
                <c:pt idx="13">
                  <c:v>899.95478097401133</c:v>
                </c:pt>
                <c:pt idx="14">
                  <c:v>856.41851774434838</c:v>
                </c:pt>
                <c:pt idx="15">
                  <c:v>812.88225451468543</c:v>
                </c:pt>
                <c:pt idx="16">
                  <c:v>769.34599128502259</c:v>
                </c:pt>
                <c:pt idx="17">
                  <c:v>725.80972805535953</c:v>
                </c:pt>
                <c:pt idx="18">
                  <c:v>682.27346482569669</c:v>
                </c:pt>
                <c:pt idx="19">
                  <c:v>638.73720159603386</c:v>
                </c:pt>
                <c:pt idx="20">
                  <c:v>595.20093836637079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C-412A-AF62-56F97F9DCB2E}"/>
            </c:ext>
          </c:extLst>
        </c:ser>
        <c:ser>
          <c:idx val="2"/>
          <c:order val="2"/>
          <c:tx>
            <c:strRef>
              <c:f>'Preço - DM e Convex'!$I$10</c:f>
              <c:strCache>
                <c:ptCount val="1"/>
                <c:pt idx="0">
                  <c:v>Preço DM + Convex</c:v>
                </c:pt>
              </c:strCache>
            </c:strRef>
          </c:tx>
          <c:spPr>
            <a:ln w="317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'Preço - DM e Convex'!$A$11:$A$31</c:f>
              <c:numCache>
                <c:formatCode>#,##0.0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'Preço - DM e Convex'!$I$11:$I$31</c:f>
              <c:numCache>
                <c:formatCode>#,##0.00</c:formatCode>
                <c:ptCount val="21"/>
                <c:pt idx="0">
                  <c:v>1596.0497074511452</c:v>
                </c:pt>
                <c:pt idx="1">
                  <c:v>1527.7899783680941</c:v>
                </c:pt>
                <c:pt idx="2">
                  <c:v>1462.1327193748737</c:v>
                </c:pt>
                <c:pt idx="3">
                  <c:v>1399.0779304714833</c:v>
                </c:pt>
                <c:pt idx="4">
                  <c:v>1338.6256116579232</c:v>
                </c:pt>
                <c:pt idx="5">
                  <c:v>1280.7757629341936</c:v>
                </c:pt>
                <c:pt idx="6">
                  <c:v>1225.5283843002944</c:v>
                </c:pt>
                <c:pt idx="7">
                  <c:v>1172.8834757562252</c:v>
                </c:pt>
                <c:pt idx="8">
                  <c:v>1122.8410373019865</c:v>
                </c:pt>
                <c:pt idx="9">
                  <c:v>1075.401068937578</c:v>
                </c:pt>
                <c:pt idx="10">
                  <c:v>1030.5635706630001</c:v>
                </c:pt>
                <c:pt idx="11">
                  <c:v>988.3285424782523</c:v>
                </c:pt>
                <c:pt idx="12">
                  <c:v>948.6959843833348</c:v>
                </c:pt>
                <c:pt idx="13">
                  <c:v>911.66589637824779</c:v>
                </c:pt>
                <c:pt idx="14">
                  <c:v>877.23827846299093</c:v>
                </c:pt>
                <c:pt idx="15">
                  <c:v>845.41313063756445</c:v>
                </c:pt>
                <c:pt idx="16">
                  <c:v>816.19045290196834</c:v>
                </c:pt>
                <c:pt idx="17">
                  <c:v>789.57024525620227</c:v>
                </c:pt>
                <c:pt idx="18">
                  <c:v>765.55250770026691</c:v>
                </c:pt>
                <c:pt idx="19">
                  <c:v>744.13724023416171</c:v>
                </c:pt>
                <c:pt idx="20">
                  <c:v>725.32444285788677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C-412A-AF62-56F97F9DC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827696"/>
        <c:axId val="218825072"/>
      </c:lineChart>
      <c:catAx>
        <c:axId val="218827696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18825072"/>
        <c:crosses val="autoZero"/>
        <c:auto val="1"/>
        <c:lblAlgn val="ctr"/>
        <c:lblOffset val="100"/>
        <c:noMultiLvlLbl val="0"/>
      </c:catAx>
      <c:valAx>
        <c:axId val="218825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70C0"/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  <c:crossAx val="21882769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accent2"/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00B0F0"/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0000"/>
                </a:solidFill>
                <a:latin typeface="Arial Rounded MT Bold" panose="020F0704030504030204" pitchFamily="34" charset="0"/>
                <a:ea typeface="+mn-ea"/>
                <a:cs typeface="+mn-cs"/>
              </a:defRPr>
            </a:pPr>
            <a:endParaRPr lang="pt-BR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Rounded MT Bold" panose="020F0704030504030204" pitchFamily="34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4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&amp;R&amp;"Calibri"&amp;10&amp;K000000#interna&amp;1#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3857" cy="599621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0.52099</cdr:x>
      <cdr:y>0.0873</cdr:y>
    </cdr:from>
    <cdr:to>
      <cdr:x>0.52099</cdr:x>
      <cdr:y>0.87897</cdr:y>
    </cdr:to>
    <cdr:cxnSp macro="">
      <cdr:nvCxnSpPr>
        <cdr:cNvPr id="7" name="Conector reto 6">
          <a:extLst xmlns:a="http://schemas.openxmlformats.org/drawingml/2006/main">
            <a:ext uri="{FF2B5EF4-FFF2-40B4-BE49-F238E27FC236}">
              <a16:creationId xmlns:a16="http://schemas.microsoft.com/office/drawing/2014/main" id="{A44CF214-BDE6-1C93-AD6C-2BB1E24CB9F5}"/>
            </a:ext>
          </a:extLst>
        </cdr:cNvPr>
        <cdr:cNvCxnSpPr/>
      </cdr:nvCxnSpPr>
      <cdr:spPr>
        <a:xfrm xmlns:a="http://schemas.openxmlformats.org/drawingml/2006/main">
          <a:off x="5024437" y="523875"/>
          <a:ext cx="0" cy="475059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>
              <a:lumMod val="85000"/>
              <a:lumOff val="15000"/>
              <a:alpha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showGridLines="0" workbookViewId="0">
      <selection activeCell="C7" sqref="C7"/>
    </sheetView>
  </sheetViews>
  <sheetFormatPr defaultColWidth="0" defaultRowHeight="14.4" zeroHeight="1" x14ac:dyDescent="0.3"/>
  <cols>
    <col min="1" max="1" width="31.109375" bestFit="1" customWidth="1"/>
    <col min="2" max="2" width="16.44140625" bestFit="1" customWidth="1"/>
    <col min="3" max="3" width="16.109375" bestFit="1" customWidth="1"/>
    <col min="4" max="4" width="13.33203125" customWidth="1"/>
    <col min="5" max="5" width="16.44140625" bestFit="1" customWidth="1"/>
    <col min="6" max="6" width="16.109375" bestFit="1" customWidth="1"/>
    <col min="7" max="7" width="10.6640625" bestFit="1" customWidth="1"/>
    <col min="8" max="8" width="25.44140625" customWidth="1"/>
    <col min="9" max="9" width="22" bestFit="1" customWidth="1"/>
    <col min="10" max="10" width="14.88671875" bestFit="1" customWidth="1"/>
    <col min="11" max="11" width="20.33203125" bestFit="1" customWidth="1"/>
    <col min="12" max="12" width="8.88671875" customWidth="1"/>
    <col min="13" max="16384" width="8.88671875" hidden="1"/>
  </cols>
  <sheetData>
    <row r="1" spans="1:11" ht="20.399999999999999" x14ac:dyDescent="0.5">
      <c r="A1" s="1" t="s">
        <v>0</v>
      </c>
      <c r="B1" s="2">
        <v>44853</v>
      </c>
      <c r="D1" s="105" t="s">
        <v>1</v>
      </c>
      <c r="E1" s="106"/>
      <c r="F1" s="106"/>
      <c r="G1" s="106"/>
      <c r="H1" s="106"/>
      <c r="I1" s="106"/>
      <c r="J1" s="106"/>
      <c r="K1" s="107"/>
    </row>
    <row r="2" spans="1:11" ht="19.8" x14ac:dyDescent="0.3">
      <c r="A2" s="3" t="s">
        <v>2</v>
      </c>
      <c r="B2" s="4">
        <v>47119</v>
      </c>
      <c r="D2" s="5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7" t="s">
        <v>8</v>
      </c>
      <c r="J2" s="8" t="s">
        <v>23</v>
      </c>
      <c r="K2" s="8" t="s">
        <v>9</v>
      </c>
    </row>
    <row r="3" spans="1:11" ht="21" thickBot="1" x14ac:dyDescent="0.55000000000000004">
      <c r="A3" s="9" t="s">
        <v>10</v>
      </c>
      <c r="B3" s="10">
        <v>0.1</v>
      </c>
      <c r="D3" s="11"/>
      <c r="E3" s="12"/>
      <c r="F3" s="12"/>
      <c r="G3" s="12"/>
      <c r="H3" s="13">
        <f>-I3</f>
        <v>-1030.56357</v>
      </c>
      <c r="I3" s="13">
        <f>TRUNC(SUM(I4:I16),6)</f>
        <v>1030.56357</v>
      </c>
      <c r="J3" s="14">
        <f>SUM(J4:J16)/I3</f>
        <v>4.6469612304099988</v>
      </c>
      <c r="K3" s="48">
        <f>(1/(I3*((1+B5/100)^2)))*SUM(K4:K16)</f>
        <v>25.252882635430744</v>
      </c>
    </row>
    <row r="4" spans="1:11" ht="18" thickBot="1" x14ac:dyDescent="0.35">
      <c r="D4" s="15">
        <v>1</v>
      </c>
      <c r="E4" s="16">
        <v>44928</v>
      </c>
      <c r="F4" s="17">
        <v>75</v>
      </c>
      <c r="G4" s="17">
        <v>51</v>
      </c>
      <c r="H4" s="18">
        <f>ROUND(((1+$B$3)^(1/2)-1)*1000,5)</f>
        <v>48.80885</v>
      </c>
      <c r="I4" s="19">
        <f t="shared" ref="I4:I16" si="0">IF(E4="","",TRUNC(H4/((1+TRUNC($B$5,4)/100)^(G4/252)),9))</f>
        <v>47.876399712999998</v>
      </c>
      <c r="J4" s="20">
        <f>+I4*(G4/252)</f>
        <v>9.6892713704880951</v>
      </c>
      <c r="K4" s="20">
        <f>I4*((G4/252)*(G4/252)+(G4/252))</f>
        <v>11.650195338324972</v>
      </c>
    </row>
    <row r="5" spans="1:11" ht="18" thickBot="1" x14ac:dyDescent="0.35">
      <c r="A5" s="21" t="s">
        <v>11</v>
      </c>
      <c r="B5" s="22">
        <v>10</v>
      </c>
      <c r="D5" s="15">
        <v>2</v>
      </c>
      <c r="E5" s="16">
        <v>45110</v>
      </c>
      <c r="F5" s="17">
        <v>257</v>
      </c>
      <c r="G5" s="17">
        <v>175</v>
      </c>
      <c r="H5" s="18">
        <f>+H4</f>
        <v>48.80885</v>
      </c>
      <c r="I5" s="19">
        <f t="shared" si="0"/>
        <v>45.682898883</v>
      </c>
      <c r="J5" s="20">
        <f t="shared" ref="J5:J16" si="1">+I5*(G5/252)</f>
        <v>31.724235335416665</v>
      </c>
      <c r="K5" s="20">
        <f t="shared" ref="K5:K16" si="2">I5*((G5/252)*(G5/252)+(G5/252))</f>
        <v>53.7549543183449</v>
      </c>
    </row>
    <row r="6" spans="1:11" ht="18" thickBot="1" x14ac:dyDescent="0.35">
      <c r="D6" s="15">
        <v>3</v>
      </c>
      <c r="E6" s="16">
        <v>45293</v>
      </c>
      <c r="F6" s="17">
        <v>440</v>
      </c>
      <c r="G6" s="17">
        <v>300</v>
      </c>
      <c r="H6" s="18">
        <f t="shared" ref="H6:H15" si="3">+H5</f>
        <v>48.80885</v>
      </c>
      <c r="I6" s="19">
        <f t="shared" si="0"/>
        <v>43.573412054999999</v>
      </c>
      <c r="J6" s="20">
        <f t="shared" si="1"/>
        <v>51.873109589285711</v>
      </c>
      <c r="K6" s="20">
        <f t="shared" si="2"/>
        <v>113.62681148129251</v>
      </c>
    </row>
    <row r="7" spans="1:11" ht="17.399999999999999" x14ac:dyDescent="0.3">
      <c r="A7" s="23" t="s">
        <v>12</v>
      </c>
      <c r="B7" s="24">
        <f>+J3</f>
        <v>4.6469612304099988</v>
      </c>
      <c r="D7" s="15">
        <v>4</v>
      </c>
      <c r="E7" s="16">
        <v>45474</v>
      </c>
      <c r="F7" s="17">
        <v>621</v>
      </c>
      <c r="G7" s="17">
        <v>424</v>
      </c>
      <c r="H7" s="18">
        <f t="shared" si="3"/>
        <v>48.80885</v>
      </c>
      <c r="I7" s="19">
        <f t="shared" si="0"/>
        <v>41.577056521000003</v>
      </c>
      <c r="J7" s="20">
        <f t="shared" si="1"/>
        <v>69.955047479777789</v>
      </c>
      <c r="K7" s="20">
        <f t="shared" si="2"/>
        <v>187.65719085845151</v>
      </c>
    </row>
    <row r="8" spans="1:11" ht="17.399999999999999" x14ac:dyDescent="0.3">
      <c r="A8" s="25" t="s">
        <v>24</v>
      </c>
      <c r="B8" s="45">
        <f>+B7/(1+B5/100)</f>
        <v>4.2245102094636353</v>
      </c>
      <c r="C8" s="46"/>
      <c r="D8" s="15">
        <v>5</v>
      </c>
      <c r="E8" s="16">
        <v>45659</v>
      </c>
      <c r="F8" s="17">
        <v>806</v>
      </c>
      <c r="G8" s="17">
        <v>554</v>
      </c>
      <c r="H8" s="18">
        <f t="shared" si="3"/>
        <v>48.80885</v>
      </c>
      <c r="I8" s="19">
        <f t="shared" si="0"/>
        <v>39.582240257000002</v>
      </c>
      <c r="J8" s="20">
        <f t="shared" si="1"/>
        <v>87.018099612611124</v>
      </c>
      <c r="K8" s="20">
        <f t="shared" si="2"/>
        <v>278.31979479271655</v>
      </c>
    </row>
    <row r="9" spans="1:11" ht="17.399999999999999" x14ac:dyDescent="0.3">
      <c r="A9" s="25" t="s">
        <v>13</v>
      </c>
      <c r="B9" s="26">
        <f>+K3</f>
        <v>25.252882635430744</v>
      </c>
      <c r="D9" s="15">
        <v>6</v>
      </c>
      <c r="E9" s="16">
        <v>45839</v>
      </c>
      <c r="F9" s="17">
        <v>986</v>
      </c>
      <c r="G9" s="17">
        <v>676</v>
      </c>
      <c r="H9" s="18">
        <f t="shared" si="3"/>
        <v>48.80885</v>
      </c>
      <c r="I9" s="19">
        <f t="shared" si="0"/>
        <v>37.797324109999998</v>
      </c>
      <c r="J9" s="20">
        <f t="shared" si="1"/>
        <v>101.39282181888888</v>
      </c>
      <c r="K9" s="20">
        <f t="shared" si="2"/>
        <v>373.38308987273365</v>
      </c>
    </row>
    <row r="10" spans="1:11" ht="17.399999999999999" x14ac:dyDescent="0.3">
      <c r="A10" s="27" t="s">
        <v>14</v>
      </c>
      <c r="B10" s="28">
        <f>+G16</f>
        <v>1557</v>
      </c>
      <c r="D10" s="15">
        <v>7</v>
      </c>
      <c r="E10" s="16">
        <v>46024</v>
      </c>
      <c r="F10" s="17">
        <v>1171</v>
      </c>
      <c r="G10" s="17">
        <v>807</v>
      </c>
      <c r="H10" s="18">
        <f t="shared" si="3"/>
        <v>48.80885</v>
      </c>
      <c r="I10" s="19">
        <f t="shared" si="0"/>
        <v>35.970247718000003</v>
      </c>
      <c r="J10" s="20">
        <f t="shared" si="1"/>
        <v>115.19043614454763</v>
      </c>
      <c r="K10" s="20">
        <f t="shared" si="2"/>
        <v>484.07409475030136</v>
      </c>
    </row>
    <row r="11" spans="1:11" ht="17.399999999999999" x14ac:dyDescent="0.3">
      <c r="A11" s="29" t="s">
        <v>5</v>
      </c>
      <c r="B11" s="28">
        <f>+F16</f>
        <v>2267</v>
      </c>
      <c r="D11" s="15">
        <v>8</v>
      </c>
      <c r="E11" s="16">
        <v>46204</v>
      </c>
      <c r="F11" s="17">
        <v>1351</v>
      </c>
      <c r="G11" s="17">
        <v>929</v>
      </c>
      <c r="H11" s="18">
        <f t="shared" si="3"/>
        <v>48.80885</v>
      </c>
      <c r="I11" s="19">
        <f t="shared" si="0"/>
        <v>34.348210270999999</v>
      </c>
      <c r="J11" s="20">
        <f t="shared" si="1"/>
        <v>126.6249497688849</v>
      </c>
      <c r="K11" s="20">
        <f t="shared" si="2"/>
        <v>593.42883205179794</v>
      </c>
    </row>
    <row r="12" spans="1:11" ht="18" thickBot="1" x14ac:dyDescent="0.35">
      <c r="A12" s="30" t="s">
        <v>15</v>
      </c>
      <c r="B12" s="31">
        <f>+I3</f>
        <v>1030.56357</v>
      </c>
      <c r="D12" s="15">
        <v>9</v>
      </c>
      <c r="E12" s="16">
        <v>46391</v>
      </c>
      <c r="F12" s="17">
        <v>1538</v>
      </c>
      <c r="G12" s="17">
        <v>1057</v>
      </c>
      <c r="H12" s="18">
        <f t="shared" si="3"/>
        <v>48.80885</v>
      </c>
      <c r="I12" s="19">
        <f t="shared" si="0"/>
        <v>32.724969987000001</v>
      </c>
      <c r="J12" s="20">
        <f t="shared" si="1"/>
        <v>137.26306855658333</v>
      </c>
      <c r="K12" s="20">
        <f t="shared" si="2"/>
        <v>713.00538389114126</v>
      </c>
    </row>
    <row r="13" spans="1:11" ht="18" thickBot="1" x14ac:dyDescent="0.35">
      <c r="D13" s="15">
        <v>10</v>
      </c>
      <c r="E13" s="16">
        <v>46569</v>
      </c>
      <c r="F13" s="17">
        <v>1716</v>
      </c>
      <c r="G13" s="17">
        <v>1180</v>
      </c>
      <c r="H13" s="18">
        <f t="shared" si="3"/>
        <v>48.80885</v>
      </c>
      <c r="I13" s="19">
        <f t="shared" si="0"/>
        <v>31.237457941999999</v>
      </c>
      <c r="J13" s="20">
        <f t="shared" si="1"/>
        <v>146.27063639507938</v>
      </c>
      <c r="K13" s="20">
        <f t="shared" si="2"/>
        <v>831.18869570537163</v>
      </c>
    </row>
    <row r="14" spans="1:11" ht="17.399999999999999" x14ac:dyDescent="0.3">
      <c r="A14" s="62" t="str">
        <f>"Variação na Taxa (DV"&amp;B14*100&amp;")"</f>
        <v>Variação na Taxa (DV10)</v>
      </c>
      <c r="B14" s="32">
        <v>0.1</v>
      </c>
      <c r="D14" s="15">
        <v>11</v>
      </c>
      <c r="E14" s="16">
        <v>46755</v>
      </c>
      <c r="F14" s="17">
        <v>1902</v>
      </c>
      <c r="G14" s="17">
        <v>1308</v>
      </c>
      <c r="H14" s="18">
        <f t="shared" si="3"/>
        <v>48.80885</v>
      </c>
      <c r="I14" s="19">
        <f t="shared" si="0"/>
        <v>29.761226730000001</v>
      </c>
      <c r="J14" s="20">
        <f t="shared" si="1"/>
        <v>154.47493874142859</v>
      </c>
      <c r="K14" s="20">
        <f t="shared" si="2"/>
        <v>956.27343030408178</v>
      </c>
    </row>
    <row r="15" spans="1:11" ht="17.399999999999999" x14ac:dyDescent="0.3">
      <c r="A15" s="63" t="s">
        <v>16</v>
      </c>
      <c r="B15" s="33">
        <f>(-(B8)*B14/100)*B12</f>
        <v>-4.3536263229662922</v>
      </c>
      <c r="D15" s="15">
        <v>12</v>
      </c>
      <c r="E15" s="16">
        <v>46937</v>
      </c>
      <c r="F15" s="17">
        <v>2084</v>
      </c>
      <c r="G15" s="17">
        <v>1432</v>
      </c>
      <c r="H15" s="18">
        <f t="shared" si="3"/>
        <v>48.80885</v>
      </c>
      <c r="I15" s="19">
        <f t="shared" si="0"/>
        <v>28.397689037999999</v>
      </c>
      <c r="J15" s="20">
        <f t="shared" si="1"/>
        <v>161.37099485085716</v>
      </c>
      <c r="K15" s="20">
        <f t="shared" si="2"/>
        <v>1078.3680767017597</v>
      </c>
    </row>
    <row r="16" spans="1:11" ht="18" thickBot="1" x14ac:dyDescent="0.35">
      <c r="A16" s="64" t="s">
        <v>17</v>
      </c>
      <c r="B16" s="33">
        <f>(0.5*B9*((B14/100)^2))*B12</f>
        <v>1.3012350440780257E-2</v>
      </c>
      <c r="D16" s="34">
        <v>13</v>
      </c>
      <c r="E16" s="35">
        <v>47120</v>
      </c>
      <c r="F16" s="36">
        <v>2267</v>
      </c>
      <c r="G16" s="36">
        <v>1557</v>
      </c>
      <c r="H16" s="37">
        <f>1000+H15</f>
        <v>1048.8088499999999</v>
      </c>
      <c r="I16" s="38">
        <f t="shared" si="0"/>
        <v>582.03443743800005</v>
      </c>
      <c r="J16" s="39">
        <f t="shared" si="1"/>
        <v>3596.1413455990719</v>
      </c>
      <c r="K16" s="39">
        <f t="shared" si="2"/>
        <v>25815.157516621912</v>
      </c>
    </row>
    <row r="17" spans="1:11" ht="15" thickBot="1" x14ac:dyDescent="0.35"/>
    <row r="18" spans="1:11" ht="21" thickBot="1" x14ac:dyDescent="0.55000000000000004">
      <c r="A18" s="40" t="s">
        <v>18</v>
      </c>
      <c r="B18" s="41">
        <f>+B12+B15+B16</f>
        <v>1026.2229560274745</v>
      </c>
      <c r="D18" s="108" t="s">
        <v>19</v>
      </c>
      <c r="E18" s="109"/>
      <c r="F18" s="109"/>
      <c r="G18" s="109"/>
      <c r="H18" s="109"/>
      <c r="I18" s="109"/>
      <c r="J18" s="109"/>
      <c r="K18" s="110"/>
    </row>
    <row r="19" spans="1:11" ht="20.399999999999999" thickBot="1" x14ac:dyDescent="0.35">
      <c r="D19" s="5" t="s">
        <v>3</v>
      </c>
      <c r="E19" s="6" t="s">
        <v>4</v>
      </c>
      <c r="F19" s="6" t="s">
        <v>5</v>
      </c>
      <c r="G19" s="6" t="s">
        <v>6</v>
      </c>
      <c r="H19" s="7" t="s">
        <v>7</v>
      </c>
      <c r="I19" s="7" t="s">
        <v>8</v>
      </c>
      <c r="J19" s="8" t="s">
        <v>23</v>
      </c>
      <c r="K19" s="8" t="s">
        <v>9</v>
      </c>
    </row>
    <row r="20" spans="1:11" ht="20.399999999999999" x14ac:dyDescent="0.5">
      <c r="A20" s="23" t="s">
        <v>20</v>
      </c>
      <c r="B20" s="42">
        <f>+B5+B14</f>
        <v>10.1</v>
      </c>
      <c r="D20" s="11"/>
      <c r="E20" s="12"/>
      <c r="F20" s="12"/>
      <c r="G20" s="12"/>
      <c r="H20" s="13">
        <f>-I20</f>
        <v>-1026.222925</v>
      </c>
      <c r="I20" s="13">
        <f>TRUNC(SUM(I21:I86),6)</f>
        <v>1026.222925</v>
      </c>
      <c r="J20" s="14">
        <f>SUM(J21:J33)/I20</f>
        <v>4.6430369686331474</v>
      </c>
      <c r="K20" s="14">
        <f>(1/(I20*((1+B20/100)^2)))*SUM(K21:K33)</f>
        <v>25.180107522566995</v>
      </c>
    </row>
    <row r="21" spans="1:11" ht="18" thickBot="1" x14ac:dyDescent="0.35">
      <c r="A21" s="30" t="s">
        <v>21</v>
      </c>
      <c r="B21" s="31">
        <f>+I20</f>
        <v>1026.222925</v>
      </c>
      <c r="D21" s="15">
        <v>1</v>
      </c>
      <c r="E21" s="16">
        <v>44928</v>
      </c>
      <c r="F21" s="17">
        <v>75</v>
      </c>
      <c r="G21" s="17">
        <v>51</v>
      </c>
      <c r="H21" s="18">
        <f>+H4</f>
        <v>48.80885</v>
      </c>
      <c r="I21" s="19">
        <f t="shared" ref="I21:I33" si="4">IF(E21="","",TRUNC(H21/((1+TRUNC($B$20,4)/100)^(G21/252)),9))</f>
        <v>47.867596096</v>
      </c>
      <c r="J21" s="20">
        <f>+I21*(G21/252)</f>
        <v>9.6874896860952386</v>
      </c>
      <c r="K21" s="20">
        <f>I21*((G21/252)*(G21/252)+(G21/252))</f>
        <v>11.648053074947846</v>
      </c>
    </row>
    <row r="22" spans="1:11" ht="18" thickBot="1" x14ac:dyDescent="0.35">
      <c r="D22" s="15">
        <v>2</v>
      </c>
      <c r="E22" s="16">
        <v>45110</v>
      </c>
      <c r="F22" s="17">
        <v>257</v>
      </c>
      <c r="G22" s="17">
        <v>175</v>
      </c>
      <c r="H22" s="18">
        <f t="shared" ref="H22:H33" si="5">+H5</f>
        <v>48.80885</v>
      </c>
      <c r="I22" s="19">
        <f t="shared" si="4"/>
        <v>45.654080864000001</v>
      </c>
      <c r="J22" s="20">
        <f t="shared" ref="J22:J33" si="6">+I22*(G22/252)</f>
        <v>31.704222822222221</v>
      </c>
      <c r="K22" s="20">
        <f t="shared" ref="K22:K33" si="7">I22*((G22/252)*(G22/252)+(G22/252))</f>
        <v>53.721044226543206</v>
      </c>
    </row>
    <row r="23" spans="1:11" ht="18" thickBot="1" x14ac:dyDescent="0.35">
      <c r="A23" s="43" t="s">
        <v>22</v>
      </c>
      <c r="B23" s="44">
        <f>+B21-B18</f>
        <v>-3.1027474506117869E-5</v>
      </c>
      <c r="D23" s="15">
        <v>3</v>
      </c>
      <c r="E23" s="16">
        <v>45293</v>
      </c>
      <c r="F23" s="17">
        <v>440</v>
      </c>
      <c r="G23" s="17">
        <v>300</v>
      </c>
      <c r="H23" s="18">
        <f t="shared" si="5"/>
        <v>48.80885</v>
      </c>
      <c r="I23" s="19">
        <f t="shared" si="4"/>
        <v>43.526301590999999</v>
      </c>
      <c r="J23" s="20">
        <f t="shared" si="6"/>
        <v>51.817025703571424</v>
      </c>
      <c r="K23" s="20">
        <f t="shared" si="7"/>
        <v>113.50396106496598</v>
      </c>
    </row>
    <row r="24" spans="1:11" ht="17.399999999999999" x14ac:dyDescent="0.3">
      <c r="D24" s="15">
        <v>4</v>
      </c>
      <c r="E24" s="16">
        <v>45474</v>
      </c>
      <c r="F24" s="17">
        <v>621</v>
      </c>
      <c r="G24" s="17">
        <v>424</v>
      </c>
      <c r="H24" s="18">
        <f t="shared" si="5"/>
        <v>48.80885</v>
      </c>
      <c r="I24" s="19">
        <f t="shared" si="4"/>
        <v>41.513538482000001</v>
      </c>
      <c r="J24" s="20">
        <f t="shared" si="6"/>
        <v>69.848175858603184</v>
      </c>
      <c r="K24" s="20">
        <f t="shared" si="7"/>
        <v>187.37050349371327</v>
      </c>
    </row>
    <row r="25" spans="1:11" ht="17.399999999999999" x14ac:dyDescent="0.3">
      <c r="D25" s="15">
        <v>5</v>
      </c>
      <c r="E25" s="16">
        <v>45659</v>
      </c>
      <c r="F25" s="17">
        <v>806</v>
      </c>
      <c r="G25" s="17">
        <v>554</v>
      </c>
      <c r="H25" s="18">
        <f t="shared" si="5"/>
        <v>48.80885</v>
      </c>
      <c r="I25" s="19">
        <f t="shared" si="4"/>
        <v>39.503247754999997</v>
      </c>
      <c r="J25" s="20">
        <f t="shared" si="6"/>
        <v>86.844441493134923</v>
      </c>
      <c r="K25" s="20">
        <f t="shared" si="7"/>
        <v>277.76436445820138</v>
      </c>
    </row>
    <row r="26" spans="1:11" ht="17.399999999999999" x14ac:dyDescent="0.3">
      <c r="D26" s="15">
        <v>6</v>
      </c>
      <c r="E26" s="16">
        <v>45839</v>
      </c>
      <c r="F26" s="17">
        <v>986</v>
      </c>
      <c r="G26" s="17">
        <v>676</v>
      </c>
      <c r="H26" s="18">
        <f t="shared" si="5"/>
        <v>48.80885</v>
      </c>
      <c r="I26" s="19">
        <f t="shared" si="4"/>
        <v>37.705302889999999</v>
      </c>
      <c r="J26" s="20">
        <f t="shared" si="6"/>
        <v>101.14597124460316</v>
      </c>
      <c r="K26" s="20">
        <f t="shared" si="7"/>
        <v>372.4740528372688</v>
      </c>
    </row>
    <row r="27" spans="1:11" ht="17.399999999999999" x14ac:dyDescent="0.3">
      <c r="D27" s="15">
        <v>7</v>
      </c>
      <c r="E27" s="16">
        <v>46024</v>
      </c>
      <c r="F27" s="17">
        <v>1171</v>
      </c>
      <c r="G27" s="17">
        <v>807</v>
      </c>
      <c r="H27" s="18">
        <f t="shared" si="5"/>
        <v>48.80885</v>
      </c>
      <c r="I27" s="19">
        <f t="shared" si="4"/>
        <v>35.865728855999997</v>
      </c>
      <c r="J27" s="20">
        <f t="shared" si="6"/>
        <v>114.85572693171429</v>
      </c>
      <c r="K27" s="20">
        <f t="shared" si="7"/>
        <v>482.66751912970409</v>
      </c>
    </row>
    <row r="28" spans="1:11" ht="17.399999999999999" x14ac:dyDescent="0.3">
      <c r="D28" s="15">
        <v>8</v>
      </c>
      <c r="E28" s="16">
        <v>46204</v>
      </c>
      <c r="F28" s="17">
        <v>1351</v>
      </c>
      <c r="G28" s="17">
        <v>929</v>
      </c>
      <c r="H28" s="18">
        <f t="shared" si="5"/>
        <v>48.80885</v>
      </c>
      <c r="I28" s="19">
        <f t="shared" si="4"/>
        <v>34.233341477000003</v>
      </c>
      <c r="J28" s="20">
        <f t="shared" si="6"/>
        <v>126.20148504814684</v>
      </c>
      <c r="K28" s="20">
        <f t="shared" si="7"/>
        <v>591.44426127722772</v>
      </c>
    </row>
    <row r="29" spans="1:11" ht="17.399999999999999" x14ac:dyDescent="0.3">
      <c r="D29" s="15">
        <v>9</v>
      </c>
      <c r="E29" s="16">
        <v>46391</v>
      </c>
      <c r="F29" s="17">
        <v>1538</v>
      </c>
      <c r="G29" s="17">
        <v>1057</v>
      </c>
      <c r="H29" s="18">
        <f t="shared" si="5"/>
        <v>48.80885</v>
      </c>
      <c r="I29" s="19">
        <f t="shared" si="4"/>
        <v>32.600479458000002</v>
      </c>
      <c r="J29" s="20">
        <f t="shared" si="6"/>
        <v>136.74089994883334</v>
      </c>
      <c r="K29" s="20">
        <f t="shared" si="7"/>
        <v>710.293008067551</v>
      </c>
    </row>
    <row r="30" spans="1:11" ht="17.399999999999999" x14ac:dyDescent="0.3">
      <c r="D30" s="15">
        <v>10</v>
      </c>
      <c r="E30" s="16">
        <v>46569</v>
      </c>
      <c r="F30" s="17">
        <v>1716</v>
      </c>
      <c r="G30" s="17">
        <v>1180</v>
      </c>
      <c r="H30" s="18">
        <f t="shared" si="5"/>
        <v>48.80885</v>
      </c>
      <c r="I30" s="19">
        <f t="shared" si="4"/>
        <v>31.104827408999999</v>
      </c>
      <c r="J30" s="20">
        <f t="shared" si="6"/>
        <v>145.64958866119048</v>
      </c>
      <c r="K30" s="20">
        <f t="shared" si="7"/>
        <v>827.65956731279675</v>
      </c>
    </row>
    <row r="31" spans="1:11" ht="17.399999999999999" x14ac:dyDescent="0.3">
      <c r="D31" s="15">
        <v>11</v>
      </c>
      <c r="E31" s="16">
        <v>46755</v>
      </c>
      <c r="F31" s="17">
        <v>1902</v>
      </c>
      <c r="G31" s="17">
        <v>1308</v>
      </c>
      <c r="H31" s="18">
        <f t="shared" si="5"/>
        <v>48.80885</v>
      </c>
      <c r="I31" s="19">
        <f t="shared" si="4"/>
        <v>29.621189262000001</v>
      </c>
      <c r="J31" s="20">
        <f t="shared" si="6"/>
        <v>153.74807759800001</v>
      </c>
      <c r="K31" s="20">
        <f t="shared" si="7"/>
        <v>951.77381370190494</v>
      </c>
    </row>
    <row r="32" spans="1:11" ht="17.399999999999999" x14ac:dyDescent="0.3">
      <c r="D32" s="15">
        <v>12</v>
      </c>
      <c r="E32" s="16">
        <v>46937</v>
      </c>
      <c r="F32" s="17">
        <v>2084</v>
      </c>
      <c r="G32" s="17">
        <v>1432</v>
      </c>
      <c r="H32" s="18">
        <f t="shared" si="5"/>
        <v>48.80885</v>
      </c>
      <c r="I32" s="19">
        <f t="shared" si="4"/>
        <v>28.251432704999999</v>
      </c>
      <c r="J32" s="20">
        <f t="shared" si="6"/>
        <v>160.53988743476191</v>
      </c>
      <c r="K32" s="20">
        <f t="shared" si="7"/>
        <v>1072.8141684132502</v>
      </c>
    </row>
    <row r="33" spans="4:11" ht="18" thickBot="1" x14ac:dyDescent="0.35">
      <c r="D33" s="34">
        <v>13</v>
      </c>
      <c r="E33" s="35">
        <v>47120</v>
      </c>
      <c r="F33" s="36">
        <v>2267</v>
      </c>
      <c r="G33" s="36">
        <v>1557</v>
      </c>
      <c r="H33" s="37">
        <f t="shared" si="5"/>
        <v>1048.8088499999999</v>
      </c>
      <c r="I33" s="38">
        <f t="shared" si="4"/>
        <v>578.77585907100001</v>
      </c>
      <c r="J33" s="39">
        <f t="shared" si="6"/>
        <v>3576.0079864029644</v>
      </c>
      <c r="K33" s="39">
        <f t="shared" si="7"/>
        <v>25670.628759535568</v>
      </c>
    </row>
    <row r="34" spans="4:11" x14ac:dyDescent="0.3"/>
    <row r="35" spans="4:11" x14ac:dyDescent="0.3"/>
  </sheetData>
  <mergeCells count="2">
    <mergeCell ref="D1:K1"/>
    <mergeCell ref="D18:K1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  <ignoredErrors>
    <ignoredError sqref="H5:I16 H20:I33 B7 H3:I3 H4:I4 J3:K16 J21:K21 B8:B12 B15:B16 B18:B23 J20 J22:J33 K20 K22:K33 A14:A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1"/>
  <sheetViews>
    <sheetView showGridLines="0" tabSelected="1" zoomScale="85" zoomScaleNormal="85" workbookViewId="0">
      <selection activeCell="D30" sqref="D30"/>
    </sheetView>
  </sheetViews>
  <sheetFormatPr defaultRowHeight="14.4" x14ac:dyDescent="0.3"/>
  <cols>
    <col min="1" max="1" width="23.33203125" bestFit="1" customWidth="1"/>
    <col min="2" max="2" width="12.6640625" bestFit="1" customWidth="1"/>
    <col min="3" max="4" width="12.6640625" customWidth="1"/>
    <col min="5" max="5" width="12.33203125" bestFit="1" customWidth="1"/>
    <col min="6" max="6" width="15.44140625" customWidth="1"/>
    <col min="7" max="7" width="9.109375" bestFit="1" customWidth="1"/>
    <col min="8" max="8" width="11.6640625" bestFit="1" customWidth="1"/>
    <col min="9" max="9" width="23.88671875" bestFit="1" customWidth="1"/>
    <col min="10" max="10" width="9.109375" bestFit="1" customWidth="1"/>
    <col min="11" max="11" width="5.44140625" customWidth="1"/>
  </cols>
  <sheetData>
    <row r="1" spans="1:24" ht="17.399999999999999" x14ac:dyDescent="0.3">
      <c r="A1" s="55" t="s">
        <v>0</v>
      </c>
      <c r="B1" s="56">
        <v>44853</v>
      </c>
      <c r="C1" s="49"/>
      <c r="D1" s="49"/>
    </row>
    <row r="2" spans="1:24" ht="17.399999999999999" x14ac:dyDescent="0.3">
      <c r="A2" s="57" t="s">
        <v>2</v>
      </c>
      <c r="B2" s="58">
        <v>47119</v>
      </c>
      <c r="C2" s="49"/>
      <c r="D2" s="49"/>
    </row>
    <row r="3" spans="1:24" ht="17.399999999999999" x14ac:dyDescent="0.3">
      <c r="A3" s="57" t="s">
        <v>10</v>
      </c>
      <c r="B3" s="59">
        <v>0.1</v>
      </c>
      <c r="C3" s="49"/>
      <c r="D3" s="49"/>
    </row>
    <row r="4" spans="1:24" ht="18" thickBot="1" x14ac:dyDescent="0.35">
      <c r="A4" s="60" t="s">
        <v>34</v>
      </c>
      <c r="B4" s="61">
        <v>0.1</v>
      </c>
      <c r="C4" s="49"/>
      <c r="D4" s="49"/>
    </row>
    <row r="5" spans="1:24" ht="18" thickBot="1" x14ac:dyDescent="0.35">
      <c r="A5" s="50"/>
      <c r="B5" s="50"/>
      <c r="C5" s="49"/>
      <c r="D5" s="49"/>
    </row>
    <row r="6" spans="1:24" ht="17.399999999999999" x14ac:dyDescent="0.3">
      <c r="A6" s="1" t="s">
        <v>26</v>
      </c>
      <c r="B6" s="53">
        <f>+(SUMPRODUCT(L$9:X$9,L21:X21))/B21</f>
        <v>4.6469612274204355</v>
      </c>
      <c r="C6" s="49"/>
      <c r="D6" s="49"/>
      <c r="L6" s="51" t="s">
        <v>32</v>
      </c>
    </row>
    <row r="7" spans="1:24" ht="18" thickBot="1" x14ac:dyDescent="0.35">
      <c r="A7" s="9" t="s">
        <v>27</v>
      </c>
      <c r="B7" s="54">
        <v>25.252882635430744</v>
      </c>
      <c r="C7" s="49"/>
      <c r="D7" s="49"/>
      <c r="L7" s="52">
        <f>ROUND(((1+$B$3)^(1/2)-1)*1000,5)</f>
        <v>48.80885</v>
      </c>
    </row>
    <row r="8" spans="1:24" ht="15" thickBot="1" x14ac:dyDescent="0.35">
      <c r="L8" s="51" t="s">
        <v>33</v>
      </c>
    </row>
    <row r="9" spans="1:24" ht="15" thickBot="1" x14ac:dyDescent="0.35">
      <c r="B9" s="47"/>
      <c r="C9" s="47"/>
      <c r="D9" s="47"/>
      <c r="L9" s="102">
        <f>+L10/252</f>
        <v>0.20238095238095238</v>
      </c>
      <c r="M9" s="103">
        <f t="shared" ref="M9:X9" si="0">+M10/252</f>
        <v>0.69444444444444442</v>
      </c>
      <c r="N9" s="103">
        <f t="shared" si="0"/>
        <v>1.1904761904761905</v>
      </c>
      <c r="O9" s="103">
        <f t="shared" si="0"/>
        <v>1.6825396825396826</v>
      </c>
      <c r="P9" s="103">
        <f t="shared" si="0"/>
        <v>2.1984126984126986</v>
      </c>
      <c r="Q9" s="103">
        <f t="shared" si="0"/>
        <v>2.6825396825396823</v>
      </c>
      <c r="R9" s="103">
        <f t="shared" si="0"/>
        <v>3.2023809523809526</v>
      </c>
      <c r="S9" s="103">
        <f t="shared" si="0"/>
        <v>3.6865079365079363</v>
      </c>
      <c r="T9" s="103">
        <f t="shared" si="0"/>
        <v>4.1944444444444446</v>
      </c>
      <c r="U9" s="103">
        <f t="shared" si="0"/>
        <v>4.6825396825396828</v>
      </c>
      <c r="V9" s="103">
        <f t="shared" si="0"/>
        <v>5.1904761904761907</v>
      </c>
      <c r="W9" s="103">
        <f t="shared" si="0"/>
        <v>5.6825396825396828</v>
      </c>
      <c r="X9" s="104">
        <f t="shared" si="0"/>
        <v>6.1785714285714288</v>
      </c>
    </row>
    <row r="10" spans="1:24" ht="18" thickBot="1" x14ac:dyDescent="0.35">
      <c r="A10" s="65" t="s">
        <v>28</v>
      </c>
      <c r="B10" s="66" t="s">
        <v>25</v>
      </c>
      <c r="C10" s="66" t="s">
        <v>31</v>
      </c>
      <c r="D10" s="66" t="s">
        <v>37</v>
      </c>
      <c r="E10" s="66" t="s">
        <v>36</v>
      </c>
      <c r="F10" s="67" t="s">
        <v>29</v>
      </c>
      <c r="G10" s="66" t="s">
        <v>22</v>
      </c>
      <c r="H10" s="66" t="s">
        <v>35</v>
      </c>
      <c r="I10" s="67" t="s">
        <v>30</v>
      </c>
      <c r="J10" s="68" t="s">
        <v>22</v>
      </c>
      <c r="L10" s="99">
        <v>51</v>
      </c>
      <c r="M10" s="100">
        <v>175</v>
      </c>
      <c r="N10" s="100">
        <v>300</v>
      </c>
      <c r="O10" s="100">
        <v>424</v>
      </c>
      <c r="P10" s="100">
        <v>554</v>
      </c>
      <c r="Q10" s="100">
        <v>676</v>
      </c>
      <c r="R10" s="100">
        <v>807</v>
      </c>
      <c r="S10" s="100">
        <v>929</v>
      </c>
      <c r="T10" s="100">
        <v>1057</v>
      </c>
      <c r="U10" s="100">
        <v>1180</v>
      </c>
      <c r="V10" s="100">
        <v>1308</v>
      </c>
      <c r="W10" s="100">
        <v>1432</v>
      </c>
      <c r="X10" s="101">
        <v>1557</v>
      </c>
    </row>
    <row r="11" spans="1:24" x14ac:dyDescent="0.3">
      <c r="A11" s="69">
        <v>0</v>
      </c>
      <c r="B11" s="70">
        <f>+SUM(L11:X11)</f>
        <v>1634.51505</v>
      </c>
      <c r="C11" s="71">
        <f t="shared" ref="C11:C19" si="1">+A11-$A$21</f>
        <v>-10</v>
      </c>
      <c r="D11" s="71">
        <f>+B11-$B$21</f>
        <v>603.95147933699991</v>
      </c>
      <c r="E11" s="70">
        <f t="shared" ref="E11:E20" si="2">(+$B$6/(1+($A$21)/100))*(($A$21-A11)/100)*$B$21</f>
        <v>435.36263229662927</v>
      </c>
      <c r="F11" s="70">
        <f t="shared" ref="F11:F20" si="3">+$B$21+E11</f>
        <v>1465.9262029596293</v>
      </c>
      <c r="G11" s="72">
        <f>+B11-F11</f>
        <v>168.58884704037064</v>
      </c>
      <c r="H11" s="70">
        <f t="shared" ref="H11:H31" si="4">(0.5*$B$7*(((A11-$A$21)/100)^2))*$B$21</f>
        <v>130.12350449151594</v>
      </c>
      <c r="I11" s="70">
        <f>+$B$21+E11+H11</f>
        <v>1596.0497074511452</v>
      </c>
      <c r="J11" s="73">
        <f t="shared" ref="J11:J31" si="5">+B11-I11</f>
        <v>38.465342548854778</v>
      </c>
      <c r="L11" s="96">
        <f t="shared" ref="L11:W20" si="6">TRUNC($L$7/((1+TRUNC($A11,4)/100)^(L$10/252)),9)</f>
        <v>48.80885</v>
      </c>
      <c r="M11" s="97">
        <f t="shared" si="6"/>
        <v>48.80885</v>
      </c>
      <c r="N11" s="97">
        <f t="shared" si="6"/>
        <v>48.80885</v>
      </c>
      <c r="O11" s="97">
        <f t="shared" si="6"/>
        <v>48.80885</v>
      </c>
      <c r="P11" s="97">
        <f t="shared" si="6"/>
        <v>48.80885</v>
      </c>
      <c r="Q11" s="97">
        <f t="shared" si="6"/>
        <v>48.80885</v>
      </c>
      <c r="R11" s="97">
        <f t="shared" si="6"/>
        <v>48.80885</v>
      </c>
      <c r="S11" s="97">
        <f t="shared" si="6"/>
        <v>48.80885</v>
      </c>
      <c r="T11" s="97">
        <f t="shared" si="6"/>
        <v>48.80885</v>
      </c>
      <c r="U11" s="97">
        <f t="shared" si="6"/>
        <v>48.80885</v>
      </c>
      <c r="V11" s="97">
        <f t="shared" si="6"/>
        <v>48.80885</v>
      </c>
      <c r="W11" s="97">
        <f t="shared" si="6"/>
        <v>48.80885</v>
      </c>
      <c r="X11" s="98">
        <f t="shared" ref="X11:X31" si="7">TRUNC((1000+$L$7)/((1+TRUNC($A11,4)/100)^(X$10/252)),9)</f>
        <v>1048.8088499999999</v>
      </c>
    </row>
    <row r="12" spans="1:24" x14ac:dyDescent="0.3">
      <c r="A12" s="74">
        <v>1</v>
      </c>
      <c r="B12" s="75">
        <f>+SUM(L12:X12)</f>
        <v>1555.1705500349999</v>
      </c>
      <c r="C12" s="76">
        <f t="shared" si="1"/>
        <v>-9</v>
      </c>
      <c r="D12" s="76">
        <f t="shared" ref="D12:D31" si="8">+B12-$B$21</f>
        <v>524.60697937199984</v>
      </c>
      <c r="E12" s="75">
        <f t="shared" si="2"/>
        <v>391.82636906696627</v>
      </c>
      <c r="F12" s="75">
        <f t="shared" si="3"/>
        <v>1422.3899397299663</v>
      </c>
      <c r="G12" s="77">
        <f t="shared" ref="G12:G31" si="9">+B12-F12</f>
        <v>132.78061030503363</v>
      </c>
      <c r="H12" s="75">
        <f t="shared" si="4"/>
        <v>105.40003863812787</v>
      </c>
      <c r="I12" s="75">
        <f t="shared" ref="I12:I31" si="10">+$B$21+E12+H12</f>
        <v>1527.7899783680941</v>
      </c>
      <c r="J12" s="78">
        <f t="shared" si="5"/>
        <v>27.38057166690578</v>
      </c>
      <c r="L12" s="89">
        <f t="shared" si="6"/>
        <v>48.710659714000002</v>
      </c>
      <c r="M12" s="75">
        <f t="shared" si="6"/>
        <v>48.472745758999999</v>
      </c>
      <c r="N12" s="75">
        <f t="shared" si="6"/>
        <v>48.234089249</v>
      </c>
      <c r="O12" s="75">
        <f t="shared" si="6"/>
        <v>47.998502973000001</v>
      </c>
      <c r="P12" s="75">
        <f t="shared" si="6"/>
        <v>47.752752782999998</v>
      </c>
      <c r="Q12" s="75">
        <f t="shared" si="6"/>
        <v>47.523270269999998</v>
      </c>
      <c r="R12" s="75">
        <f t="shared" si="6"/>
        <v>47.278086416999997</v>
      </c>
      <c r="S12" s="75">
        <f t="shared" si="6"/>
        <v>47.050884979999999</v>
      </c>
      <c r="T12" s="75">
        <f t="shared" si="6"/>
        <v>46.813683324000003</v>
      </c>
      <c r="U12" s="75">
        <f t="shared" si="6"/>
        <v>46.586874100000003</v>
      </c>
      <c r="V12" s="75">
        <f t="shared" si="6"/>
        <v>46.352011701999999</v>
      </c>
      <c r="W12" s="75">
        <f t="shared" si="6"/>
        <v>46.125617921</v>
      </c>
      <c r="X12" s="90">
        <f t="shared" si="7"/>
        <v>986.271370843</v>
      </c>
    </row>
    <row r="13" spans="1:24" x14ac:dyDescent="0.3">
      <c r="A13" s="74">
        <f>A12+1</f>
        <v>2</v>
      </c>
      <c r="B13" s="75">
        <f t="shared" ref="B13:B31" si="11">+SUM(L13:X13)</f>
        <v>1480.9177696720001</v>
      </c>
      <c r="C13" s="76">
        <f t="shared" si="1"/>
        <v>-8</v>
      </c>
      <c r="D13" s="76">
        <f t="shared" si="8"/>
        <v>450.35419900900001</v>
      </c>
      <c r="E13" s="75">
        <f t="shared" si="2"/>
        <v>348.29010583730337</v>
      </c>
      <c r="F13" s="75">
        <f t="shared" si="3"/>
        <v>1378.8536765003034</v>
      </c>
      <c r="G13" s="77">
        <f t="shared" si="9"/>
        <v>102.06409317169664</v>
      </c>
      <c r="H13" s="75">
        <f t="shared" si="4"/>
        <v>83.27904287457018</v>
      </c>
      <c r="I13" s="75">
        <f t="shared" si="10"/>
        <v>1462.1327193748737</v>
      </c>
      <c r="J13" s="78">
        <f t="shared" si="5"/>
        <v>18.785050297126418</v>
      </c>
      <c r="L13" s="89">
        <f t="shared" si="6"/>
        <v>48.613631460000001</v>
      </c>
      <c r="M13" s="75">
        <f t="shared" si="6"/>
        <v>48.142233363000003</v>
      </c>
      <c r="N13" s="75">
        <f t="shared" si="6"/>
        <v>47.671660058000001</v>
      </c>
      <c r="O13" s="75">
        <f t="shared" si="6"/>
        <v>47.209396095999999</v>
      </c>
      <c r="P13" s="75">
        <f t="shared" si="6"/>
        <v>46.729576854000001</v>
      </c>
      <c r="Q13" s="75">
        <f t="shared" si="6"/>
        <v>46.283721663000001</v>
      </c>
      <c r="R13" s="75">
        <f t="shared" si="6"/>
        <v>45.809710688000003</v>
      </c>
      <c r="S13" s="75">
        <f t="shared" si="6"/>
        <v>45.372632103000001</v>
      </c>
      <c r="T13" s="75">
        <f t="shared" si="6"/>
        <v>44.918540075999999</v>
      </c>
      <c r="U13" s="75">
        <f t="shared" si="6"/>
        <v>44.486468342000002</v>
      </c>
      <c r="V13" s="75">
        <f t="shared" si="6"/>
        <v>44.041245095000001</v>
      </c>
      <c r="W13" s="75">
        <f t="shared" si="6"/>
        <v>43.614184649000002</v>
      </c>
      <c r="X13" s="90">
        <f t="shared" si="7"/>
        <v>928.024769225</v>
      </c>
    </row>
    <row r="14" spans="1:24" x14ac:dyDescent="0.3">
      <c r="A14" s="74">
        <f t="shared" ref="A14:A31" si="12">A13+1</f>
        <v>3</v>
      </c>
      <c r="B14" s="75">
        <f t="shared" si="11"/>
        <v>1411.3761087180001</v>
      </c>
      <c r="C14" s="76">
        <f t="shared" si="1"/>
        <v>-7</v>
      </c>
      <c r="D14" s="76">
        <f t="shared" si="8"/>
        <v>380.812538055</v>
      </c>
      <c r="E14" s="75">
        <f t="shared" si="2"/>
        <v>304.75384260764048</v>
      </c>
      <c r="F14" s="75">
        <f t="shared" si="3"/>
        <v>1335.3174132706406</v>
      </c>
      <c r="G14" s="77">
        <f t="shared" si="9"/>
        <v>76.058695447359469</v>
      </c>
      <c r="H14" s="75">
        <f t="shared" si="4"/>
        <v>63.760517200842799</v>
      </c>
      <c r="I14" s="75">
        <f t="shared" si="10"/>
        <v>1399.0779304714833</v>
      </c>
      <c r="J14" s="78">
        <f t="shared" si="5"/>
        <v>12.298178246516727</v>
      </c>
      <c r="L14" s="89">
        <f t="shared" si="6"/>
        <v>48.517740293999999</v>
      </c>
      <c r="M14" s="75">
        <f t="shared" si="6"/>
        <v>47.817166311000001</v>
      </c>
      <c r="N14" s="75">
        <f t="shared" si="6"/>
        <v>47.121180805999998</v>
      </c>
      <c r="O14" s="75">
        <f t="shared" si="6"/>
        <v>46.440772502999998</v>
      </c>
      <c r="P14" s="75">
        <f t="shared" si="6"/>
        <v>45.737988127999998</v>
      </c>
      <c r="Q14" s="75">
        <f t="shared" si="6"/>
        <v>45.088128644000001</v>
      </c>
      <c r="R14" s="75">
        <f t="shared" si="6"/>
        <v>44.400605360999997</v>
      </c>
      <c r="S14" s="75">
        <f t="shared" si="6"/>
        <v>43.769747824</v>
      </c>
      <c r="T14" s="75">
        <f t="shared" si="6"/>
        <v>43.117497751000002</v>
      </c>
      <c r="U14" s="75">
        <f t="shared" si="6"/>
        <v>42.49988561</v>
      </c>
      <c r="V14" s="75">
        <f t="shared" si="6"/>
        <v>41.866558828000002</v>
      </c>
      <c r="W14" s="75">
        <f t="shared" si="6"/>
        <v>41.262024863999997</v>
      </c>
      <c r="X14" s="90">
        <f t="shared" si="7"/>
        <v>873.736811794</v>
      </c>
    </row>
    <row r="15" spans="1:24" x14ac:dyDescent="0.3">
      <c r="A15" s="74">
        <f t="shared" si="12"/>
        <v>4</v>
      </c>
      <c r="B15" s="75">
        <f t="shared" si="11"/>
        <v>1346.1970172699998</v>
      </c>
      <c r="C15" s="76">
        <f t="shared" si="1"/>
        <v>-6</v>
      </c>
      <c r="D15" s="76">
        <f t="shared" si="8"/>
        <v>315.63344660699977</v>
      </c>
      <c r="E15" s="75">
        <f t="shared" si="2"/>
        <v>261.21757937797753</v>
      </c>
      <c r="F15" s="75">
        <f t="shared" si="3"/>
        <v>1291.7811500409775</v>
      </c>
      <c r="G15" s="77">
        <f t="shared" si="9"/>
        <v>54.415867229022297</v>
      </c>
      <c r="H15" s="75">
        <f t="shared" si="4"/>
        <v>46.844461616945722</v>
      </c>
      <c r="I15" s="75">
        <f t="shared" si="10"/>
        <v>1338.6256116579232</v>
      </c>
      <c r="J15" s="78">
        <f t="shared" si="5"/>
        <v>7.57140561207666</v>
      </c>
      <c r="L15" s="89">
        <f t="shared" si="6"/>
        <v>48.422962042000002</v>
      </c>
      <c r="M15" s="75">
        <f t="shared" si="6"/>
        <v>47.497403316000003</v>
      </c>
      <c r="N15" s="75">
        <f t="shared" si="6"/>
        <v>46.582285235000001</v>
      </c>
      <c r="O15" s="75">
        <f t="shared" si="6"/>
        <v>45.691909289000002</v>
      </c>
      <c r="P15" s="75">
        <f t="shared" si="6"/>
        <v>44.776718815000002</v>
      </c>
      <c r="Q15" s="75">
        <f t="shared" si="6"/>
        <v>43.934528163000003</v>
      </c>
      <c r="R15" s="75">
        <f t="shared" si="6"/>
        <v>43.047836932000003</v>
      </c>
      <c r="S15" s="75">
        <f t="shared" si="6"/>
        <v>42.238164253999997</v>
      </c>
      <c r="T15" s="75">
        <f t="shared" si="6"/>
        <v>41.405037264000001</v>
      </c>
      <c r="U15" s="75">
        <f t="shared" si="6"/>
        <v>40.619940978999999</v>
      </c>
      <c r="V15" s="75">
        <f t="shared" si="6"/>
        <v>39.818732646000001</v>
      </c>
      <c r="W15" s="75">
        <f t="shared" si="6"/>
        <v>39.057635556999998</v>
      </c>
      <c r="X15" s="90">
        <f t="shared" si="7"/>
        <v>823.10386277800001</v>
      </c>
    </row>
    <row r="16" spans="1:24" x14ac:dyDescent="0.3">
      <c r="A16" s="74">
        <f t="shared" si="12"/>
        <v>5</v>
      </c>
      <c r="B16" s="75">
        <f t="shared" si="11"/>
        <v>1285.061010159</v>
      </c>
      <c r="C16" s="76">
        <f t="shared" si="1"/>
        <v>-5</v>
      </c>
      <c r="D16" s="76">
        <f t="shared" si="8"/>
        <v>254.49743949599997</v>
      </c>
      <c r="E16" s="75">
        <f t="shared" si="2"/>
        <v>217.68131614831464</v>
      </c>
      <c r="F16" s="75">
        <f t="shared" si="3"/>
        <v>1248.2448868113147</v>
      </c>
      <c r="G16" s="77">
        <f t="shared" si="9"/>
        <v>36.816123347685334</v>
      </c>
      <c r="H16" s="75">
        <f t="shared" si="4"/>
        <v>32.530876122878986</v>
      </c>
      <c r="I16" s="75">
        <f t="shared" si="10"/>
        <v>1280.7757629341936</v>
      </c>
      <c r="J16" s="78">
        <f t="shared" si="5"/>
        <v>4.2852472248064259</v>
      </c>
      <c r="L16" s="89">
        <f t="shared" si="6"/>
        <v>48.329273272999998</v>
      </c>
      <c r="M16" s="75">
        <f t="shared" si="6"/>
        <v>47.182808068999996</v>
      </c>
      <c r="N16" s="75">
        <f t="shared" si="6"/>
        <v>46.054621689999998</v>
      </c>
      <c r="O16" s="75">
        <f t="shared" si="6"/>
        <v>44.962115685000001</v>
      </c>
      <c r="P16" s="75">
        <f t="shared" si="6"/>
        <v>43.844563532000002</v>
      </c>
      <c r="Q16" s="75">
        <f t="shared" si="6"/>
        <v>42.821062556999998</v>
      </c>
      <c r="R16" s="75">
        <f t="shared" si="6"/>
        <v>41.748643362999999</v>
      </c>
      <c r="S16" s="75">
        <f t="shared" si="6"/>
        <v>40.774069236999999</v>
      </c>
      <c r="T16" s="75">
        <f t="shared" si="6"/>
        <v>39.776011951999998</v>
      </c>
      <c r="U16" s="75">
        <f t="shared" si="6"/>
        <v>38.839966038</v>
      </c>
      <c r="V16" s="75">
        <f t="shared" si="6"/>
        <v>37.88925124</v>
      </c>
      <c r="W16" s="75">
        <f t="shared" si="6"/>
        <v>36.990443845999998</v>
      </c>
      <c r="X16" s="90">
        <f t="shared" si="7"/>
        <v>775.84817967699996</v>
      </c>
    </row>
    <row r="17" spans="1:24" x14ac:dyDescent="0.3">
      <c r="A17" s="74">
        <f t="shared" si="12"/>
        <v>6</v>
      </c>
      <c r="B17" s="75">
        <f t="shared" si="11"/>
        <v>1227.674985201</v>
      </c>
      <c r="C17" s="76">
        <f t="shared" si="1"/>
        <v>-4</v>
      </c>
      <c r="D17" s="76">
        <f t="shared" si="8"/>
        <v>197.11141453799996</v>
      </c>
      <c r="E17" s="75">
        <f t="shared" si="2"/>
        <v>174.14505291865169</v>
      </c>
      <c r="F17" s="75">
        <f t="shared" si="3"/>
        <v>1204.7086235816519</v>
      </c>
      <c r="G17" s="77">
        <f t="shared" si="9"/>
        <v>22.966361619348163</v>
      </c>
      <c r="H17" s="75">
        <f t="shared" si="4"/>
        <v>20.819760718642545</v>
      </c>
      <c r="I17" s="75">
        <f t="shared" si="10"/>
        <v>1225.5283843002944</v>
      </c>
      <c r="J17" s="78">
        <f t="shared" si="5"/>
        <v>2.1466009007056073</v>
      </c>
      <c r="L17" s="89">
        <f t="shared" si="6"/>
        <v>48.236651262999999</v>
      </c>
      <c r="M17" s="75">
        <f t="shared" si="6"/>
        <v>46.873249018999999</v>
      </c>
      <c r="N17" s="75">
        <f t="shared" si="6"/>
        <v>45.537852405000002</v>
      </c>
      <c r="O17" s="75">
        <f t="shared" si="6"/>
        <v>44.250731336000001</v>
      </c>
      <c r="P17" s="75">
        <f t="shared" si="6"/>
        <v>42.940375678000002</v>
      </c>
      <c r="Q17" s="75">
        <f t="shared" si="6"/>
        <v>41.745972958999999</v>
      </c>
      <c r="R17" s="75">
        <f t="shared" si="6"/>
        <v>40.500422549</v>
      </c>
      <c r="S17" s="75">
        <f t="shared" si="6"/>
        <v>39.373888045000001</v>
      </c>
      <c r="T17" s="75">
        <f t="shared" si="6"/>
        <v>38.225619215000002</v>
      </c>
      <c r="U17" s="75">
        <f t="shared" si="6"/>
        <v>37.153767318</v>
      </c>
      <c r="V17" s="75">
        <f t="shared" si="6"/>
        <v>36.070244328000001</v>
      </c>
      <c r="W17" s="75">
        <f t="shared" si="6"/>
        <v>35.050723884999996</v>
      </c>
      <c r="X17" s="90">
        <f t="shared" si="7"/>
        <v>731.71548720099997</v>
      </c>
    </row>
    <row r="18" spans="1:24" x14ac:dyDescent="0.3">
      <c r="A18" s="74">
        <f t="shared" si="12"/>
        <v>7</v>
      </c>
      <c r="B18" s="75">
        <f t="shared" si="11"/>
        <v>1173.7698118400001</v>
      </c>
      <c r="C18" s="76">
        <f t="shared" si="1"/>
        <v>-3</v>
      </c>
      <c r="D18" s="76">
        <f t="shared" si="8"/>
        <v>143.20624117700004</v>
      </c>
      <c r="E18" s="75">
        <f t="shared" si="2"/>
        <v>130.60878968898876</v>
      </c>
      <c r="F18" s="75">
        <f t="shared" si="3"/>
        <v>1161.1723603519888</v>
      </c>
      <c r="G18" s="77">
        <f t="shared" si="9"/>
        <v>12.597451488011302</v>
      </c>
      <c r="H18" s="75">
        <f t="shared" si="4"/>
        <v>11.71111540423643</v>
      </c>
      <c r="I18" s="75">
        <f t="shared" si="10"/>
        <v>1172.8834757562252</v>
      </c>
      <c r="J18" s="78">
        <f t="shared" si="5"/>
        <v>0.88633608377494966</v>
      </c>
      <c r="L18" s="89">
        <f t="shared" si="6"/>
        <v>48.145073973000002</v>
      </c>
      <c r="M18" s="75">
        <f t="shared" si="6"/>
        <v>46.568599163999998</v>
      </c>
      <c r="N18" s="75">
        <f t="shared" si="6"/>
        <v>45.031652831999999</v>
      </c>
      <c r="O18" s="75">
        <f t="shared" si="6"/>
        <v>43.557124694000002</v>
      </c>
      <c r="P18" s="75">
        <f t="shared" si="6"/>
        <v>42.063064040999997</v>
      </c>
      <c r="Q18" s="75">
        <f t="shared" si="6"/>
        <v>40.707593172000003</v>
      </c>
      <c r="R18" s="75">
        <f t="shared" si="6"/>
        <v>39.300721666999998</v>
      </c>
      <c r="S18" s="75">
        <f t="shared" si="6"/>
        <v>38.034266533999997</v>
      </c>
      <c r="T18" s="75">
        <f t="shared" si="6"/>
        <v>36.749374557000003</v>
      </c>
      <c r="U18" s="75">
        <f t="shared" si="6"/>
        <v>35.555588411000002</v>
      </c>
      <c r="V18" s="75">
        <f t="shared" si="6"/>
        <v>34.354432336000002</v>
      </c>
      <c r="W18" s="75">
        <f t="shared" si="6"/>
        <v>33.229521879000004</v>
      </c>
      <c r="X18" s="90">
        <f t="shared" si="7"/>
        <v>690.47279858000002</v>
      </c>
    </row>
    <row r="19" spans="1:24" x14ac:dyDescent="0.3">
      <c r="A19" s="74">
        <f t="shared" si="12"/>
        <v>8</v>
      </c>
      <c r="B19" s="75">
        <f t="shared" si="11"/>
        <v>1123.0981606589999</v>
      </c>
      <c r="C19" s="76">
        <f t="shared" si="1"/>
        <v>-2</v>
      </c>
      <c r="D19" s="76">
        <f t="shared" si="8"/>
        <v>92.534589995999795</v>
      </c>
      <c r="E19" s="75">
        <f t="shared" si="2"/>
        <v>87.072526459325843</v>
      </c>
      <c r="F19" s="75">
        <f t="shared" si="3"/>
        <v>1117.636097122326</v>
      </c>
      <c r="G19" s="77">
        <f t="shared" si="9"/>
        <v>5.4620635366738952</v>
      </c>
      <c r="H19" s="75">
        <f t="shared" si="4"/>
        <v>5.2049401796606363</v>
      </c>
      <c r="I19" s="75">
        <f t="shared" si="10"/>
        <v>1122.8410373019865</v>
      </c>
      <c r="J19" s="78">
        <f t="shared" si="5"/>
        <v>0.25712335701336997</v>
      </c>
      <c r="L19" s="89">
        <f t="shared" si="6"/>
        <v>48.054520019000002</v>
      </c>
      <c r="M19" s="75">
        <f t="shared" si="6"/>
        <v>46.268735851000002</v>
      </c>
      <c r="N19" s="75">
        <f t="shared" si="6"/>
        <v>44.535711003000003</v>
      </c>
      <c r="O19" s="75">
        <f t="shared" si="6"/>
        <v>42.880691505000001</v>
      </c>
      <c r="P19" s="75">
        <f t="shared" si="6"/>
        <v>41.21158964</v>
      </c>
      <c r="Q19" s="75">
        <f t="shared" si="6"/>
        <v>39.704343985999998</v>
      </c>
      <c r="R19" s="75">
        <f t="shared" si="6"/>
        <v>38.147227317999999</v>
      </c>
      <c r="S19" s="75">
        <f t="shared" si="6"/>
        <v>36.752055640999998</v>
      </c>
      <c r="T19" s="75">
        <f t="shared" si="6"/>
        <v>35.34308781</v>
      </c>
      <c r="U19" s="75">
        <f t="shared" si="6"/>
        <v>34.040075434000002</v>
      </c>
      <c r="V19" s="75">
        <f t="shared" si="6"/>
        <v>32.735077103000002</v>
      </c>
      <c r="W19" s="75">
        <f t="shared" si="6"/>
        <v>31.518588363999999</v>
      </c>
      <c r="X19" s="90">
        <f t="shared" si="7"/>
        <v>651.90645698499998</v>
      </c>
    </row>
    <row r="20" spans="1:24" x14ac:dyDescent="0.3">
      <c r="A20" s="74">
        <f t="shared" si="12"/>
        <v>9</v>
      </c>
      <c r="B20" s="75">
        <f t="shared" si="11"/>
        <v>1075.4325477120001</v>
      </c>
      <c r="C20" s="76">
        <f>+A20-$A$21</f>
        <v>-1</v>
      </c>
      <c r="D20" s="76">
        <f t="shared" si="8"/>
        <v>44.868977049000023</v>
      </c>
      <c r="E20" s="75">
        <f t="shared" si="2"/>
        <v>43.536263229662922</v>
      </c>
      <c r="F20" s="75">
        <f t="shared" si="3"/>
        <v>1074.0998338926629</v>
      </c>
      <c r="G20" s="77">
        <f t="shared" si="9"/>
        <v>1.3327138193371866</v>
      </c>
      <c r="H20" s="75">
        <f t="shared" si="4"/>
        <v>1.3012350449151591</v>
      </c>
      <c r="I20" s="75">
        <f t="shared" si="10"/>
        <v>1075.401068937578</v>
      </c>
      <c r="J20" s="78">
        <f t="shared" si="5"/>
        <v>3.147877442211211E-2</v>
      </c>
      <c r="L20" s="89">
        <f t="shared" si="6"/>
        <v>47.964968648000003</v>
      </c>
      <c r="M20" s="75">
        <f t="shared" si="6"/>
        <v>45.973540591999999</v>
      </c>
      <c r="N20" s="75">
        <f t="shared" si="6"/>
        <v>44.049726933000002</v>
      </c>
      <c r="O20" s="75">
        <f t="shared" si="6"/>
        <v>42.220853392000002</v>
      </c>
      <c r="P20" s="75">
        <f t="shared" si="6"/>
        <v>40.384962774000002</v>
      </c>
      <c r="Q20" s="75">
        <f t="shared" si="6"/>
        <v>38.734727882000001</v>
      </c>
      <c r="R20" s="75">
        <f t="shared" si="6"/>
        <v>37.037756412</v>
      </c>
      <c r="S20" s="75">
        <f t="shared" si="6"/>
        <v>35.524297099999998</v>
      </c>
      <c r="T20" s="75">
        <f t="shared" si="6"/>
        <v>34.002841328999999</v>
      </c>
      <c r="U20" s="75">
        <f t="shared" si="6"/>
        <v>32.602245502999999</v>
      </c>
      <c r="V20" s="75">
        <f t="shared" si="6"/>
        <v>31.2059371</v>
      </c>
      <c r="W20" s="75">
        <f t="shared" si="6"/>
        <v>29.910316975000001</v>
      </c>
      <c r="X20" s="90">
        <f t="shared" si="7"/>
        <v>615.82037307200005</v>
      </c>
    </row>
    <row r="21" spans="1:24" ht="21" x14ac:dyDescent="0.3">
      <c r="A21" s="79">
        <f t="shared" si="12"/>
        <v>10</v>
      </c>
      <c r="B21" s="80">
        <f t="shared" si="11"/>
        <v>1030.5635706630001</v>
      </c>
      <c r="C21" s="80">
        <f>+$A$21-A21</f>
        <v>0</v>
      </c>
      <c r="D21" s="80">
        <f t="shared" si="8"/>
        <v>0</v>
      </c>
      <c r="E21" s="80">
        <f>-(+$B$6/(1+($A$21)/100))*(($A$21-A21)/100)*$B$21</f>
        <v>0</v>
      </c>
      <c r="F21" s="80">
        <f>+$B$21+E21</f>
        <v>1030.5635706630001</v>
      </c>
      <c r="G21" s="81">
        <f t="shared" si="9"/>
        <v>0</v>
      </c>
      <c r="H21" s="80">
        <f t="shared" si="4"/>
        <v>0</v>
      </c>
      <c r="I21" s="80">
        <f t="shared" si="10"/>
        <v>1030.5635706630001</v>
      </c>
      <c r="J21" s="82">
        <f t="shared" si="5"/>
        <v>0</v>
      </c>
      <c r="L21" s="91">
        <f t="shared" ref="L21:W31" si="13">TRUNC($L$7/((1+TRUNC($A21,4)/100)^(L$10/252)),9)</f>
        <v>47.876399712999998</v>
      </c>
      <c r="M21" s="92">
        <f t="shared" si="13"/>
        <v>45.682898883</v>
      </c>
      <c r="N21" s="92">
        <f t="shared" si="13"/>
        <v>43.573412054999999</v>
      </c>
      <c r="O21" s="92">
        <f t="shared" si="13"/>
        <v>41.577056521000003</v>
      </c>
      <c r="P21" s="92">
        <f t="shared" si="13"/>
        <v>39.582240257000002</v>
      </c>
      <c r="Q21" s="92">
        <f t="shared" si="13"/>
        <v>37.797324109999998</v>
      </c>
      <c r="R21" s="92">
        <f t="shared" si="13"/>
        <v>35.970247718000003</v>
      </c>
      <c r="S21" s="92">
        <f t="shared" si="13"/>
        <v>34.348210270999999</v>
      </c>
      <c r="T21" s="92">
        <f t="shared" si="13"/>
        <v>32.724969987000001</v>
      </c>
      <c r="U21" s="92">
        <f t="shared" si="13"/>
        <v>31.237457941999999</v>
      </c>
      <c r="V21" s="92">
        <f t="shared" si="13"/>
        <v>29.761226730000001</v>
      </c>
      <c r="W21" s="92">
        <f t="shared" si="13"/>
        <v>28.397689037999999</v>
      </c>
      <c r="X21" s="93">
        <f t="shared" si="7"/>
        <v>582.03443743800005</v>
      </c>
    </row>
    <row r="22" spans="1:24" x14ac:dyDescent="0.3">
      <c r="A22" s="74">
        <f t="shared" si="12"/>
        <v>11</v>
      </c>
      <c r="B22" s="75">
        <f t="shared" si="11"/>
        <v>988.29831636300003</v>
      </c>
      <c r="C22" s="83">
        <f>+A22-$A$21</f>
        <v>1</v>
      </c>
      <c r="D22" s="83">
        <f t="shared" si="8"/>
        <v>-42.265254300000038</v>
      </c>
      <c r="E22" s="75">
        <f t="shared" ref="E22:E31" si="14">(+$B$6/(1+($A$21)/100))*(($A$21-A22)/100)*$B$21</f>
        <v>-43.536263229662922</v>
      </c>
      <c r="F22" s="75">
        <f t="shared" ref="F22:F31" si="15">+$B$21+E22</f>
        <v>987.02730743333711</v>
      </c>
      <c r="G22" s="77">
        <f t="shared" si="9"/>
        <v>1.2710089296629121</v>
      </c>
      <c r="H22" s="75">
        <f t="shared" si="4"/>
        <v>1.3012350449151591</v>
      </c>
      <c r="I22" s="75">
        <f t="shared" si="10"/>
        <v>988.3285424782523</v>
      </c>
      <c r="J22" s="78">
        <f t="shared" si="5"/>
        <v>-3.0226115252276031E-2</v>
      </c>
      <c r="L22" s="89">
        <f t="shared" si="13"/>
        <v>47.788793650999999</v>
      </c>
      <c r="M22" s="75">
        <f t="shared" si="13"/>
        <v>45.396700037000002</v>
      </c>
      <c r="N22" s="75">
        <f t="shared" si="13"/>
        <v>43.106488687999999</v>
      </c>
      <c r="O22" s="75">
        <f t="shared" si="13"/>
        <v>40.948770351999997</v>
      </c>
      <c r="P22" s="75">
        <f t="shared" si="13"/>
        <v>38.802522832000001</v>
      </c>
      <c r="Q22" s="75">
        <f t="shared" si="13"/>
        <v>36.890784101000001</v>
      </c>
      <c r="R22" s="75">
        <f t="shared" si="13"/>
        <v>34.942754041000001</v>
      </c>
      <c r="S22" s="75">
        <f t="shared" si="13"/>
        <v>33.221179993</v>
      </c>
      <c r="T22" s="75">
        <f t="shared" si="13"/>
        <v>31.506042799999999</v>
      </c>
      <c r="U22" s="75">
        <f t="shared" si="13"/>
        <v>29.941387956</v>
      </c>
      <c r="V22" s="75">
        <f t="shared" si="13"/>
        <v>28.395579285</v>
      </c>
      <c r="W22" s="75">
        <f t="shared" si="13"/>
        <v>26.974223383999998</v>
      </c>
      <c r="X22" s="90">
        <f t="shared" si="7"/>
        <v>550.38308924299997</v>
      </c>
    </row>
    <row r="23" spans="1:24" x14ac:dyDescent="0.3">
      <c r="A23" s="74">
        <f t="shared" si="12"/>
        <v>12</v>
      </c>
      <c r="B23" s="75">
        <f t="shared" si="11"/>
        <v>948.45892177399992</v>
      </c>
      <c r="C23" s="83">
        <f t="shared" ref="C23:C31" si="16">+A23-$A$21</f>
        <v>2</v>
      </c>
      <c r="D23" s="83">
        <f t="shared" si="8"/>
        <v>-82.104648889000146</v>
      </c>
      <c r="E23" s="75">
        <f t="shared" si="14"/>
        <v>-87.072526459325843</v>
      </c>
      <c r="F23" s="75">
        <f t="shared" si="15"/>
        <v>943.49104420367416</v>
      </c>
      <c r="G23" s="77">
        <f t="shared" si="9"/>
        <v>4.9678775703257543</v>
      </c>
      <c r="H23" s="75">
        <f t="shared" si="4"/>
        <v>5.2049401796606363</v>
      </c>
      <c r="I23" s="75">
        <f t="shared" si="10"/>
        <v>948.6959843833348</v>
      </c>
      <c r="J23" s="78">
        <f t="shared" si="5"/>
        <v>-0.23706260933488466</v>
      </c>
      <c r="L23" s="89">
        <f t="shared" si="13"/>
        <v>47.702131459999997</v>
      </c>
      <c r="M23" s="75">
        <f t="shared" si="13"/>
        <v>45.114837023</v>
      </c>
      <c r="N23" s="75">
        <f t="shared" si="13"/>
        <v>42.648689529000002</v>
      </c>
      <c r="O23" s="75">
        <f t="shared" si="13"/>
        <v>40.335486453999998</v>
      </c>
      <c r="P23" s="75">
        <f t="shared" si="13"/>
        <v>38.044952762000001</v>
      </c>
      <c r="Q23" s="75">
        <f t="shared" si="13"/>
        <v>36.013827190999997</v>
      </c>
      <c r="R23" s="75">
        <f t="shared" si="13"/>
        <v>33.953434952000002</v>
      </c>
      <c r="S23" s="75">
        <f t="shared" si="13"/>
        <v>32.140745359</v>
      </c>
      <c r="T23" s="75">
        <f t="shared" si="13"/>
        <v>30.342846039000001</v>
      </c>
      <c r="U23" s="75">
        <f t="shared" si="13"/>
        <v>28.710002544000002</v>
      </c>
      <c r="V23" s="75">
        <f t="shared" si="13"/>
        <v>27.104013215999998</v>
      </c>
      <c r="W23" s="75">
        <f t="shared" si="13"/>
        <v>25.633930843000002</v>
      </c>
      <c r="X23" s="90">
        <f t="shared" si="7"/>
        <v>520.71402440199995</v>
      </c>
    </row>
    <row r="24" spans="1:24" x14ac:dyDescent="0.3">
      <c r="A24" s="74">
        <f t="shared" si="12"/>
        <v>13</v>
      </c>
      <c r="B24" s="75">
        <f t="shared" si="11"/>
        <v>910.88127234100011</v>
      </c>
      <c r="C24" s="83">
        <f t="shared" si="16"/>
        <v>3</v>
      </c>
      <c r="D24" s="83">
        <f t="shared" si="8"/>
        <v>-119.68229832199995</v>
      </c>
      <c r="E24" s="75">
        <f t="shared" si="14"/>
        <v>-130.60878968898876</v>
      </c>
      <c r="F24" s="75">
        <f t="shared" si="15"/>
        <v>899.95478097401133</v>
      </c>
      <c r="G24" s="77">
        <f t="shared" si="9"/>
        <v>10.926491366988785</v>
      </c>
      <c r="H24" s="75">
        <f t="shared" si="4"/>
        <v>11.71111540423643</v>
      </c>
      <c r="I24" s="75">
        <f t="shared" si="10"/>
        <v>911.66589637824779</v>
      </c>
      <c r="J24" s="78">
        <f t="shared" si="5"/>
        <v>-0.78462403724768137</v>
      </c>
      <c r="L24" s="89">
        <f t="shared" si="13"/>
        <v>47.616394679000003</v>
      </c>
      <c r="M24" s="75">
        <f t="shared" si="13"/>
        <v>44.837206313000003</v>
      </c>
      <c r="N24" s="75">
        <f t="shared" si="13"/>
        <v>42.199757181999999</v>
      </c>
      <c r="O24" s="75">
        <f t="shared" si="13"/>
        <v>39.736717403999997</v>
      </c>
      <c r="P24" s="75">
        <f t="shared" si="13"/>
        <v>37.308711553999999</v>
      </c>
      <c r="Q24" s="75">
        <f t="shared" si="13"/>
        <v>35.165236641</v>
      </c>
      <c r="R24" s="75">
        <f t="shared" si="13"/>
        <v>33.000550058999998</v>
      </c>
      <c r="S24" s="75">
        <f t="shared" si="13"/>
        <v>31.104589351000001</v>
      </c>
      <c r="T24" s="75">
        <f t="shared" si="13"/>
        <v>29.232367701000001</v>
      </c>
      <c r="U24" s="75">
        <f t="shared" si="13"/>
        <v>27.539538445000002</v>
      </c>
      <c r="V24" s="75">
        <f t="shared" si="13"/>
        <v>25.881901382999999</v>
      </c>
      <c r="W24" s="75">
        <f t="shared" si="13"/>
        <v>24.371272959999999</v>
      </c>
      <c r="X24" s="90">
        <f t="shared" si="7"/>
        <v>492.88702866900002</v>
      </c>
    </row>
    <row r="25" spans="1:24" x14ac:dyDescent="0.3">
      <c r="A25" s="74">
        <f t="shared" si="12"/>
        <v>14</v>
      </c>
      <c r="B25" s="75">
        <f t="shared" si="11"/>
        <v>875.41382347900003</v>
      </c>
      <c r="C25" s="83">
        <f t="shared" si="16"/>
        <v>4</v>
      </c>
      <c r="D25" s="83">
        <f t="shared" si="8"/>
        <v>-155.14974718400003</v>
      </c>
      <c r="E25" s="75">
        <f t="shared" si="14"/>
        <v>-174.14505291865169</v>
      </c>
      <c r="F25" s="75">
        <f t="shared" si="15"/>
        <v>856.41851774434838</v>
      </c>
      <c r="G25" s="77">
        <f t="shared" si="9"/>
        <v>18.995305734651652</v>
      </c>
      <c r="H25" s="75">
        <f t="shared" si="4"/>
        <v>20.819760718642545</v>
      </c>
      <c r="I25" s="75">
        <f t="shared" si="10"/>
        <v>877.23827846299093</v>
      </c>
      <c r="J25" s="78">
        <f t="shared" si="5"/>
        <v>-1.8244549839909041</v>
      </c>
      <c r="L25" s="89">
        <f t="shared" si="13"/>
        <v>47.531565364999999</v>
      </c>
      <c r="M25" s="75">
        <f t="shared" si="13"/>
        <v>44.563707739999998</v>
      </c>
      <c r="N25" s="75">
        <f t="shared" si="13"/>
        <v>41.759443703000002</v>
      </c>
      <c r="O25" s="75">
        <f t="shared" si="13"/>
        <v>39.151995737999997</v>
      </c>
      <c r="P25" s="75">
        <f t="shared" si="13"/>
        <v>36.593017844999999</v>
      </c>
      <c r="Q25" s="75">
        <f t="shared" si="13"/>
        <v>34.343855910000002</v>
      </c>
      <c r="R25" s="75">
        <f t="shared" si="13"/>
        <v>32.082452742000001</v>
      </c>
      <c r="S25" s="75">
        <f t="shared" si="13"/>
        <v>30.110529250999999</v>
      </c>
      <c r="T25" s="75">
        <f t="shared" si="13"/>
        <v>28.171783208000001</v>
      </c>
      <c r="U25" s="75">
        <f t="shared" si="13"/>
        <v>26.426481925000001</v>
      </c>
      <c r="V25" s="75">
        <f t="shared" si="13"/>
        <v>24.72494301</v>
      </c>
      <c r="W25" s="75">
        <f t="shared" si="13"/>
        <v>23.181124495999999</v>
      </c>
      <c r="X25" s="90">
        <f t="shared" si="7"/>
        <v>466.77292254600002</v>
      </c>
    </row>
    <row r="26" spans="1:24" x14ac:dyDescent="0.3">
      <c r="A26" s="74">
        <f t="shared" si="12"/>
        <v>15</v>
      </c>
      <c r="B26" s="75">
        <f t="shared" si="11"/>
        <v>841.91653263600006</v>
      </c>
      <c r="C26" s="83">
        <f t="shared" si="16"/>
        <v>5</v>
      </c>
      <c r="D26" s="83">
        <f t="shared" si="8"/>
        <v>-188.64703802700001</v>
      </c>
      <c r="E26" s="75">
        <f t="shared" si="14"/>
        <v>-217.68131614831464</v>
      </c>
      <c r="F26" s="75">
        <f t="shared" si="15"/>
        <v>812.88225451468543</v>
      </c>
      <c r="G26" s="77">
        <f t="shared" si="9"/>
        <v>29.034278121314628</v>
      </c>
      <c r="H26" s="75">
        <f t="shared" si="4"/>
        <v>32.530876122878986</v>
      </c>
      <c r="I26" s="75">
        <f t="shared" si="10"/>
        <v>845.41313063756445</v>
      </c>
      <c r="J26" s="78">
        <f t="shared" si="5"/>
        <v>-3.4965980015643936</v>
      </c>
      <c r="L26" s="89">
        <f t="shared" si="13"/>
        <v>47.447626079000003</v>
      </c>
      <c r="M26" s="75">
        <f t="shared" si="13"/>
        <v>44.294244358999997</v>
      </c>
      <c r="N26" s="75">
        <f t="shared" si="13"/>
        <v>41.327510173999997</v>
      </c>
      <c r="O26" s="75">
        <f t="shared" si="13"/>
        <v>38.580872968000001</v>
      </c>
      <c r="P26" s="75">
        <f t="shared" si="13"/>
        <v>35.897125404000001</v>
      </c>
      <c r="Q26" s="75">
        <f t="shared" si="13"/>
        <v>33.548585189999997</v>
      </c>
      <c r="R26" s="75">
        <f t="shared" si="13"/>
        <v>31.197584336999999</v>
      </c>
      <c r="S26" s="75">
        <f t="shared" si="13"/>
        <v>29.156507772000001</v>
      </c>
      <c r="T26" s="75">
        <f t="shared" si="13"/>
        <v>27.158442239999999</v>
      </c>
      <c r="U26" s="75">
        <f t="shared" si="13"/>
        <v>25.367550238</v>
      </c>
      <c r="V26" s="75">
        <f t="shared" si="13"/>
        <v>23.629138074</v>
      </c>
      <c r="W26" s="75">
        <f t="shared" si="13"/>
        <v>22.058739336999999</v>
      </c>
      <c r="X26" s="90">
        <f t="shared" si="7"/>
        <v>442.252606464</v>
      </c>
    </row>
    <row r="27" spans="1:24" x14ac:dyDescent="0.3">
      <c r="A27" s="74">
        <f t="shared" si="12"/>
        <v>16</v>
      </c>
      <c r="B27" s="75">
        <f t="shared" si="11"/>
        <v>810.25989067399996</v>
      </c>
      <c r="C27" s="83">
        <f t="shared" si="16"/>
        <v>6</v>
      </c>
      <c r="D27" s="83">
        <f t="shared" si="8"/>
        <v>-220.3036799890001</v>
      </c>
      <c r="E27" s="75">
        <f t="shared" si="14"/>
        <v>-261.21757937797753</v>
      </c>
      <c r="F27" s="75">
        <f t="shared" si="15"/>
        <v>769.34599128502259</v>
      </c>
      <c r="G27" s="77">
        <f t="shared" si="9"/>
        <v>40.91389938897737</v>
      </c>
      <c r="H27" s="75">
        <f t="shared" si="4"/>
        <v>46.844461616945722</v>
      </c>
      <c r="I27" s="75">
        <f t="shared" si="10"/>
        <v>816.19045290196834</v>
      </c>
      <c r="J27" s="78">
        <f t="shared" si="5"/>
        <v>-5.9305622279683803</v>
      </c>
      <c r="L27" s="89">
        <f t="shared" si="13"/>
        <v>47.364559864999997</v>
      </c>
      <c r="M27" s="75">
        <f t="shared" si="13"/>
        <v>44.028722316</v>
      </c>
      <c r="N27" s="75">
        <f t="shared" si="13"/>
        <v>40.903726304000003</v>
      </c>
      <c r="O27" s="75">
        <f t="shared" si="13"/>
        <v>38.022918660999999</v>
      </c>
      <c r="P27" s="75">
        <f t="shared" si="13"/>
        <v>35.220321273000003</v>
      </c>
      <c r="Q27" s="75">
        <f t="shared" si="13"/>
        <v>32.778378156000002</v>
      </c>
      <c r="R27" s="75">
        <f t="shared" si="13"/>
        <v>30.344468730999999</v>
      </c>
      <c r="S27" s="75">
        <f t="shared" si="13"/>
        <v>28.24058484</v>
      </c>
      <c r="T27" s="75">
        <f t="shared" si="13"/>
        <v>26.189856594999998</v>
      </c>
      <c r="U27" s="75">
        <f t="shared" si="13"/>
        <v>24.359674609999999</v>
      </c>
      <c r="V27" s="75">
        <f t="shared" si="13"/>
        <v>22.590763908</v>
      </c>
      <c r="W27" s="75">
        <f t="shared" si="13"/>
        <v>20.999719491</v>
      </c>
      <c r="X27" s="90">
        <f t="shared" si="7"/>
        <v>419.21619592399998</v>
      </c>
    </row>
    <row r="28" spans="1:24" x14ac:dyDescent="0.3">
      <c r="A28" s="74">
        <f t="shared" si="12"/>
        <v>17</v>
      </c>
      <c r="B28" s="75">
        <f t="shared" si="11"/>
        <v>780.32404250000013</v>
      </c>
      <c r="C28" s="83">
        <f t="shared" si="16"/>
        <v>7</v>
      </c>
      <c r="D28" s="83">
        <f t="shared" si="8"/>
        <v>-250.23952816299993</v>
      </c>
      <c r="E28" s="75">
        <f t="shared" si="14"/>
        <v>-304.75384260764048</v>
      </c>
      <c r="F28" s="75">
        <f t="shared" si="15"/>
        <v>725.80972805535953</v>
      </c>
      <c r="G28" s="77">
        <f t="shared" si="9"/>
        <v>54.514314444640604</v>
      </c>
      <c r="H28" s="75">
        <f t="shared" si="4"/>
        <v>63.760517200842799</v>
      </c>
      <c r="I28" s="75">
        <f t="shared" si="10"/>
        <v>789.57024525620227</v>
      </c>
      <c r="J28" s="78">
        <f t="shared" si="5"/>
        <v>-9.2462027562021376</v>
      </c>
      <c r="L28" s="89">
        <f t="shared" si="13"/>
        <v>47.282350231999999</v>
      </c>
      <c r="M28" s="75">
        <f t="shared" si="13"/>
        <v>43.767050724999997</v>
      </c>
      <c r="N28" s="75">
        <f t="shared" si="13"/>
        <v>40.487870041000001</v>
      </c>
      <c r="O28" s="75">
        <f t="shared" si="13"/>
        <v>37.477719553999997</v>
      </c>
      <c r="P28" s="75">
        <f t="shared" si="13"/>
        <v>34.561924003000001</v>
      </c>
      <c r="Q28" s="75">
        <f t="shared" si="13"/>
        <v>32.032238935000002</v>
      </c>
      <c r="R28" s="75">
        <f t="shared" si="13"/>
        <v>29.521707323000001</v>
      </c>
      <c r="S28" s="75">
        <f t="shared" si="13"/>
        <v>27.360929983999998</v>
      </c>
      <c r="T28" s="75">
        <f t="shared" si="13"/>
        <v>25.263688986999998</v>
      </c>
      <c r="U28" s="75">
        <f t="shared" si="13"/>
        <v>23.399984612000001</v>
      </c>
      <c r="V28" s="75">
        <f t="shared" si="13"/>
        <v>21.606353800000001</v>
      </c>
      <c r="W28" s="75">
        <f t="shared" si="13"/>
        <v>19.999986847999999</v>
      </c>
      <c r="X28" s="90">
        <f t="shared" si="7"/>
        <v>397.56223745599999</v>
      </c>
    </row>
    <row r="29" spans="1:24" x14ac:dyDescent="0.3">
      <c r="A29" s="74">
        <f t="shared" si="12"/>
        <v>18</v>
      </c>
      <c r="B29" s="75">
        <f t="shared" si="11"/>
        <v>751.99798813100006</v>
      </c>
      <c r="C29" s="83">
        <f t="shared" si="16"/>
        <v>8</v>
      </c>
      <c r="D29" s="83">
        <f t="shared" si="8"/>
        <v>-278.56558253200001</v>
      </c>
      <c r="E29" s="75">
        <f t="shared" si="14"/>
        <v>-348.29010583730337</v>
      </c>
      <c r="F29" s="75">
        <f t="shared" si="15"/>
        <v>682.27346482569669</v>
      </c>
      <c r="G29" s="77">
        <f t="shared" si="9"/>
        <v>69.724523305303364</v>
      </c>
      <c r="H29" s="75">
        <f t="shared" si="4"/>
        <v>83.27904287457018</v>
      </c>
      <c r="I29" s="75">
        <f t="shared" si="10"/>
        <v>765.55250770026691</v>
      </c>
      <c r="J29" s="78">
        <f t="shared" si="5"/>
        <v>-13.554519569266859</v>
      </c>
      <c r="L29" s="89">
        <f t="shared" si="13"/>
        <v>47.200981136999999</v>
      </c>
      <c r="M29" s="75">
        <f t="shared" si="13"/>
        <v>43.509141550000002</v>
      </c>
      <c r="N29" s="75">
        <f t="shared" si="13"/>
        <v>40.079727212000002</v>
      </c>
      <c r="O29" s="75">
        <f t="shared" si="13"/>
        <v>36.944878740999997</v>
      </c>
      <c r="P29" s="75">
        <f t="shared" si="13"/>
        <v>33.921282017999999</v>
      </c>
      <c r="Q29" s="75">
        <f t="shared" si="13"/>
        <v>31.309219272</v>
      </c>
      <c r="R29" s="75">
        <f t="shared" si="13"/>
        <v>28.727974339999999</v>
      </c>
      <c r="S29" s="75">
        <f t="shared" si="13"/>
        <v>26.515815275000001</v>
      </c>
      <c r="T29" s="75">
        <f t="shared" si="13"/>
        <v>24.377742708</v>
      </c>
      <c r="U29" s="75">
        <f t="shared" si="13"/>
        <v>22.485793788999999</v>
      </c>
      <c r="V29" s="75">
        <f t="shared" si="13"/>
        <v>20.672677414999999</v>
      </c>
      <c r="W29" s="75">
        <f t="shared" si="13"/>
        <v>19.055757448000001</v>
      </c>
      <c r="X29" s="90">
        <f t="shared" si="7"/>
        <v>377.19699722600001</v>
      </c>
    </row>
    <row r="30" spans="1:24" x14ac:dyDescent="0.3">
      <c r="A30" s="74">
        <f>A29+1</f>
        <v>19</v>
      </c>
      <c r="B30" s="75">
        <f t="shared" si="11"/>
        <v>725.17885614699992</v>
      </c>
      <c r="C30" s="83">
        <f t="shared" si="16"/>
        <v>9</v>
      </c>
      <c r="D30" s="83">
        <f t="shared" si="8"/>
        <v>-305.38471451600014</v>
      </c>
      <c r="E30" s="75">
        <f t="shared" si="14"/>
        <v>-391.82636906696627</v>
      </c>
      <c r="F30" s="75">
        <f t="shared" si="15"/>
        <v>638.73720159603386</v>
      </c>
      <c r="G30" s="77">
        <f t="shared" si="9"/>
        <v>86.441654550966064</v>
      </c>
      <c r="H30" s="75">
        <f t="shared" si="4"/>
        <v>105.40003863812787</v>
      </c>
      <c r="I30" s="75">
        <f t="shared" si="10"/>
        <v>744.13724023416171</v>
      </c>
      <c r="J30" s="78">
        <f t="shared" si="5"/>
        <v>-18.958384087161789</v>
      </c>
      <c r="L30" s="89">
        <f t="shared" si="13"/>
        <v>47.120436972</v>
      </c>
      <c r="M30" s="75">
        <f t="shared" si="13"/>
        <v>43.254909488999999</v>
      </c>
      <c r="N30" s="75">
        <f t="shared" si="13"/>
        <v>39.679091182000001</v>
      </c>
      <c r="O30" s="75">
        <f t="shared" si="13"/>
        <v>36.424014886000002</v>
      </c>
      <c r="P30" s="75">
        <f t="shared" si="13"/>
        <v>33.297772057000003</v>
      </c>
      <c r="Q30" s="75">
        <f t="shared" si="13"/>
        <v>30.608415870000002</v>
      </c>
      <c r="R30" s="75">
        <f t="shared" si="13"/>
        <v>27.962012470000001</v>
      </c>
      <c r="S30" s="75">
        <f t="shared" si="13"/>
        <v>25.703608782</v>
      </c>
      <c r="T30" s="75">
        <f t="shared" si="13"/>
        <v>23.529952080000001</v>
      </c>
      <c r="U30" s="75">
        <f t="shared" si="13"/>
        <v>21.614586449000001</v>
      </c>
      <c r="V30" s="75">
        <f t="shared" si="13"/>
        <v>19.786722857000001</v>
      </c>
      <c r="W30" s="75">
        <f t="shared" si="13"/>
        <v>18.163518023999998</v>
      </c>
      <c r="X30" s="90">
        <f t="shared" si="7"/>
        <v>358.03381502899998</v>
      </c>
    </row>
    <row r="31" spans="1:24" ht="15" thickBot="1" x14ac:dyDescent="0.35">
      <c r="A31" s="84">
        <f t="shared" si="12"/>
        <v>20</v>
      </c>
      <c r="B31" s="85">
        <f t="shared" si="11"/>
        <v>699.77124242500008</v>
      </c>
      <c r="C31" s="86">
        <f t="shared" si="16"/>
        <v>10</v>
      </c>
      <c r="D31" s="86">
        <f t="shared" si="8"/>
        <v>-330.79232823799998</v>
      </c>
      <c r="E31" s="85">
        <f t="shared" si="14"/>
        <v>-435.36263229662927</v>
      </c>
      <c r="F31" s="85">
        <f t="shared" si="15"/>
        <v>595.20093836637079</v>
      </c>
      <c r="G31" s="87">
        <f t="shared" si="9"/>
        <v>104.57030405862929</v>
      </c>
      <c r="H31" s="85">
        <f t="shared" si="4"/>
        <v>130.12350449151594</v>
      </c>
      <c r="I31" s="85">
        <f t="shared" si="10"/>
        <v>725.32444285788677</v>
      </c>
      <c r="J31" s="88">
        <f t="shared" si="5"/>
        <v>-25.553200432886683</v>
      </c>
      <c r="L31" s="94">
        <f t="shared" si="13"/>
        <v>47.040702545999999</v>
      </c>
      <c r="M31" s="85">
        <f t="shared" si="13"/>
        <v>43.004271873</v>
      </c>
      <c r="N31" s="85">
        <f t="shared" si="13"/>
        <v>39.285762523999999</v>
      </c>
      <c r="O31" s="85">
        <f t="shared" si="13"/>
        <v>35.914761491</v>
      </c>
      <c r="P31" s="85">
        <f t="shared" si="13"/>
        <v>32.690797727000003</v>
      </c>
      <c r="Q31" s="85">
        <f t="shared" si="13"/>
        <v>29.928967909000001</v>
      </c>
      <c r="R31" s="85">
        <f t="shared" si="13"/>
        <v>27.222628788000002</v>
      </c>
      <c r="S31" s="85">
        <f t="shared" si="13"/>
        <v>24.922768486999999</v>
      </c>
      <c r="T31" s="85">
        <f t="shared" si="13"/>
        <v>22.718373624000002</v>
      </c>
      <c r="U31" s="85">
        <f t="shared" si="13"/>
        <v>20.784005491999999</v>
      </c>
      <c r="V31" s="85">
        <f t="shared" si="13"/>
        <v>18.945680229000001</v>
      </c>
      <c r="W31" s="85">
        <f t="shared" si="13"/>
        <v>17.320004576999999</v>
      </c>
      <c r="X31" s="95">
        <f t="shared" si="7"/>
        <v>339.992517158</v>
      </c>
    </row>
  </sheetData>
  <pageMargins left="0.51181102362204722" right="0.51181102362204722" top="0.78740157480314965" bottom="0.78740157480314965" header="0.31496062992125984" footer="0.31496062992125984"/>
  <pageSetup paperSize="9" scale="37" orientation="portrait" r:id="rId1"/>
  <headerFooter>
    <oddHeader>&amp;R&amp;"Calibri"&amp;10&amp;K000000#interna&amp;1#</oddHeader>
  </headerFooter>
  <ignoredErrors>
    <ignoredError sqref="E21 C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2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RFP</vt:lpstr>
      <vt:lpstr>Preço - DM e Convex</vt:lpstr>
      <vt:lpstr>Graf DM e Convex</vt:lpstr>
      <vt:lpstr>'Preço - DM e Convex'!Area_de_impressao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Veiga Figueiredo</dc:creator>
  <cp:keywords>www.rendafixapratica.com.br</cp:keywords>
  <cp:lastModifiedBy>Jefferson Veiga Figueiredo</cp:lastModifiedBy>
  <dcterms:created xsi:type="dcterms:W3CDTF">2022-10-25T22:23:15Z</dcterms:created>
  <dcterms:modified xsi:type="dcterms:W3CDTF">2022-10-27T23:15:36Z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81dc9-f7f2-41de-a334-ceff3dc15b31_Enabled">
    <vt:lpwstr>true</vt:lpwstr>
  </property>
  <property fmtid="{D5CDD505-2E9C-101B-9397-08002B2CF9AE}" pid="3" name="MSIP_Label_40881dc9-f7f2-41de-a334-ceff3dc15b31_SetDate">
    <vt:lpwstr>2022-10-26T18:04:57Z</vt:lpwstr>
  </property>
  <property fmtid="{D5CDD505-2E9C-101B-9397-08002B2CF9AE}" pid="4" name="MSIP_Label_40881dc9-f7f2-41de-a334-ceff3dc15b31_Method">
    <vt:lpwstr>Standard</vt:lpwstr>
  </property>
  <property fmtid="{D5CDD505-2E9C-101B-9397-08002B2CF9AE}" pid="5" name="MSIP_Label_40881dc9-f7f2-41de-a334-ceff3dc15b31_Name">
    <vt:lpwstr>40881dc9-f7f2-41de-a334-ceff3dc15b31</vt:lpwstr>
  </property>
  <property fmtid="{D5CDD505-2E9C-101B-9397-08002B2CF9AE}" pid="6" name="MSIP_Label_40881dc9-f7f2-41de-a334-ceff3dc15b31_SiteId">
    <vt:lpwstr>ea0c2907-38d2-4181-8750-b0b190b60443</vt:lpwstr>
  </property>
  <property fmtid="{D5CDD505-2E9C-101B-9397-08002B2CF9AE}" pid="7" name="MSIP_Label_40881dc9-f7f2-41de-a334-ceff3dc15b31_ActionId">
    <vt:lpwstr>5db9cc8d-b8db-45b7-8baa-a448e281005f</vt:lpwstr>
  </property>
  <property fmtid="{D5CDD505-2E9C-101B-9397-08002B2CF9AE}" pid="8" name="MSIP_Label_40881dc9-f7f2-41de-a334-ceff3dc15b31_ContentBits">
    <vt:lpwstr>1</vt:lpwstr>
  </property>
</Properties>
</file>